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КСК\ИНВЕСТИЦИОННАЯ ПРОГРАММА\ИП 2025_2027\Пояснительная записка 2025_2027\"/>
    </mc:Choice>
  </mc:AlternateContent>
  <xr:revisionPtr revIDLastSave="0" documentId="13_ncr:1_{0C6E97E3-0450-4559-9040-6BE15ECFDECB}" xr6:coauthVersionLast="47" xr6:coauthVersionMax="47" xr10:uidLastSave="{00000000-0000-0000-0000-000000000000}"/>
  <bookViews>
    <workbookView minimized="1" xWindow="7200" yWindow="4215" windowWidth="21600" windowHeight="11385" xr2:uid="{4DE2A972-2168-4D9C-8224-D154BFACB352}"/>
  </bookViews>
  <sheets>
    <sheet name="Свод по ИП" sheetId="1" r:id="rId1"/>
    <sheet name="План приборы 2025" sheetId="4" r:id="rId2"/>
    <sheet name="Расходы 2025  ИСУ" sheetId="5" r:id="rId3"/>
    <sheet name="Расходы 2025 по УНЦ" sheetId="6" r:id="rId4"/>
  </sheets>
  <definedNames>
    <definedName name="_xlnm.Print_Area" localSheetId="2">'Расходы 2025  ИСУ'!$A$1:$G$50</definedName>
    <definedName name="_xlnm.Print_Area" localSheetId="3">'Расходы 2025 по УНЦ'!$A$1:$J$46</definedName>
    <definedName name="_xlnm.Print_Area" localSheetId="0">'Свод по ИП'!$A$1:$N$60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1" l="1"/>
  <c r="H47" i="1"/>
  <c r="I27" i="1" l="1"/>
  <c r="L27" i="1"/>
  <c r="J32" i="1" l="1"/>
  <c r="L32" i="1"/>
  <c r="L29" i="1"/>
  <c r="L30" i="1"/>
  <c r="L31" i="1"/>
  <c r="H15" i="1"/>
  <c r="H26" i="1"/>
  <c r="H27" i="1"/>
  <c r="H28" i="1"/>
  <c r="H29" i="1"/>
  <c r="H30" i="1"/>
  <c r="H31" i="1"/>
  <c r="H32" i="1"/>
  <c r="H33" i="1"/>
  <c r="I31" i="1"/>
  <c r="J31" i="1"/>
  <c r="I32" i="1"/>
  <c r="K32" i="1"/>
  <c r="J29" i="1"/>
  <c r="I29" i="1"/>
  <c r="F32" i="1"/>
  <c r="F30" i="1"/>
  <c r="J30" i="1" s="1"/>
  <c r="E30" i="1"/>
  <c r="I30" i="1" s="1"/>
  <c r="F28" i="1" l="1"/>
  <c r="J28" i="1"/>
  <c r="L28" i="1" s="1"/>
  <c r="I28" i="1"/>
  <c r="E28" i="1"/>
  <c r="E30" i="5" l="1"/>
  <c r="J11" i="6" l="1"/>
  <c r="I33" i="1" l="1"/>
  <c r="F27" i="1" l="1"/>
  <c r="J27" i="1" s="1"/>
  <c r="J26" i="1" s="1"/>
  <c r="E27" i="1"/>
  <c r="I26" i="1" s="1"/>
  <c r="L26" i="1" s="1"/>
  <c r="E15" i="1"/>
  <c r="F20" i="1"/>
  <c r="E23" i="1"/>
  <c r="D19" i="1"/>
  <c r="F11" i="6"/>
  <c r="I23" i="1" l="1"/>
  <c r="H23" i="1"/>
  <c r="J20" i="1"/>
  <c r="H20" i="1"/>
  <c r="D17" i="1"/>
  <c r="F19" i="1"/>
  <c r="H19" i="1" s="1"/>
  <c r="J8" i="1"/>
  <c r="F6" i="1"/>
  <c r="G6" i="1"/>
  <c r="J6" i="1"/>
  <c r="K6" i="1"/>
  <c r="I22" i="1" l="1"/>
  <c r="L22" i="1" s="1"/>
  <c r="L23" i="1"/>
  <c r="J19" i="1"/>
  <c r="L19" i="1" s="1"/>
  <c r="L20" i="1"/>
  <c r="E17" i="1"/>
  <c r="D13" i="1"/>
  <c r="E45" i="5"/>
  <c r="I17" i="1" l="1"/>
  <c r="H17" i="1"/>
  <c r="E18" i="1"/>
  <c r="H18" i="1" s="1"/>
  <c r="F49" i="6"/>
  <c r="F48" i="6"/>
  <c r="F45" i="6"/>
  <c r="F44" i="6"/>
  <c r="H37" i="6"/>
  <c r="F37" i="6"/>
  <c r="F36" i="6"/>
  <c r="H36" i="6" s="1"/>
  <c r="G35" i="6"/>
  <c r="G38" i="6" s="1"/>
  <c r="H34" i="6"/>
  <c r="J34" i="6" s="1"/>
  <c r="F34" i="6"/>
  <c r="G33" i="6"/>
  <c r="F27" i="6"/>
  <c r="H27" i="6" s="1"/>
  <c r="J27" i="6" s="1"/>
  <c r="H26" i="6"/>
  <c r="J26" i="6" s="1"/>
  <c r="F26" i="6"/>
  <c r="G25" i="6"/>
  <c r="G28" i="6" s="1"/>
  <c r="F24" i="6"/>
  <c r="F23" i="6"/>
  <c r="H23" i="6" s="1"/>
  <c r="G22" i="6"/>
  <c r="F15" i="6"/>
  <c r="F14" i="6"/>
  <c r="F12" i="6"/>
  <c r="H12" i="6" s="1"/>
  <c r="F29" i="5"/>
  <c r="E29" i="5"/>
  <c r="C13" i="5"/>
  <c r="D12" i="5"/>
  <c r="F12" i="5" s="1"/>
  <c r="E12" i="5" s="1"/>
  <c r="G14" i="6"/>
  <c r="D11" i="5"/>
  <c r="F11" i="5" s="1"/>
  <c r="E11" i="5" s="1"/>
  <c r="D10" i="5"/>
  <c r="G15" i="6"/>
  <c r="C3" i="4"/>
  <c r="I18" i="1" l="1"/>
  <c r="L18" i="1" s="1"/>
  <c r="L17" i="1"/>
  <c r="C5" i="4"/>
  <c r="D13" i="5"/>
  <c r="F13" i="5" s="1"/>
  <c r="E13" i="5" s="1"/>
  <c r="H35" i="6"/>
  <c r="J36" i="6"/>
  <c r="G13" i="6"/>
  <c r="H14" i="6"/>
  <c r="G48" i="6"/>
  <c r="H11" i="6"/>
  <c r="D9" i="5"/>
  <c r="F10" i="5"/>
  <c r="G49" i="6"/>
  <c r="H15" i="6"/>
  <c r="J15" i="6" s="1"/>
  <c r="J12" i="6"/>
  <c r="H46" i="6"/>
  <c r="J23" i="6"/>
  <c r="J22" i="6" s="1"/>
  <c r="H22" i="6"/>
  <c r="J25" i="6"/>
  <c r="J28" i="6" s="1"/>
  <c r="J33" i="6"/>
  <c r="J38" i="6" s="1"/>
  <c r="D7" i="5"/>
  <c r="G11" i="6"/>
  <c r="H25" i="6"/>
  <c r="H33" i="6"/>
  <c r="J37" i="6"/>
  <c r="H49" i="6" l="1"/>
  <c r="J49" i="6"/>
  <c r="J10" i="6"/>
  <c r="H10" i="6"/>
  <c r="G47" i="6"/>
  <c r="H38" i="6"/>
  <c r="C45" i="5"/>
  <c r="D15" i="5" s="1"/>
  <c r="F7" i="5"/>
  <c r="D6" i="5"/>
  <c r="D8" i="5"/>
  <c r="F8" i="5" s="1"/>
  <c r="E8" i="5" s="1"/>
  <c r="H28" i="6"/>
  <c r="H44" i="6"/>
  <c r="H43" i="6" s="1"/>
  <c r="G10" i="6"/>
  <c r="G16" i="6" s="1"/>
  <c r="G44" i="6"/>
  <c r="G43" i="6" s="1"/>
  <c r="J44" i="6"/>
  <c r="J43" i="6" s="1"/>
  <c r="E10" i="5"/>
  <c r="E9" i="5" s="1"/>
  <c r="F9" i="5"/>
  <c r="J14" i="6"/>
  <c r="J13" i="6" s="1"/>
  <c r="H13" i="6"/>
  <c r="H48" i="6"/>
  <c r="H47" i="6" s="1"/>
  <c r="H50" i="6" s="1"/>
  <c r="E16" i="1"/>
  <c r="D7" i="1"/>
  <c r="E7" i="1" s="1"/>
  <c r="I16" i="1" l="1"/>
  <c r="H16" i="1"/>
  <c r="I15" i="1"/>
  <c r="L15" i="1" s="1"/>
  <c r="L16" i="1"/>
  <c r="I7" i="1"/>
  <c r="H7" i="1"/>
  <c r="H16" i="6"/>
  <c r="J16" i="6"/>
  <c r="G50" i="6"/>
  <c r="J48" i="6"/>
  <c r="J47" i="6" s="1"/>
  <c r="J50" i="6" s="1"/>
  <c r="F6" i="5"/>
  <c r="F5" i="5" s="1"/>
  <c r="E7" i="5"/>
  <c r="E6" i="5" s="1"/>
  <c r="E5" i="5" s="1"/>
  <c r="D14" i="5"/>
  <c r="D19" i="5"/>
  <c r="D16" i="5"/>
  <c r="F15" i="5"/>
  <c r="E15" i="5" s="1"/>
  <c r="I6" i="1" l="1"/>
  <c r="L6" i="1" s="1"/>
  <c r="L7" i="1"/>
  <c r="D26" i="5"/>
  <c r="F26" i="5" s="1"/>
  <c r="E26" i="5" s="1"/>
  <c r="D22" i="5"/>
  <c r="F22" i="5" s="1"/>
  <c r="E22" i="5" s="1"/>
  <c r="D20" i="5"/>
  <c r="F20" i="5" s="1"/>
  <c r="E20" i="5" s="1"/>
  <c r="D27" i="5"/>
  <c r="F27" i="5" s="1"/>
  <c r="E27" i="5" s="1"/>
  <c r="D23" i="5"/>
  <c r="F23" i="5" s="1"/>
  <c r="E23" i="5" s="1"/>
  <c r="D24" i="5"/>
  <c r="F24" i="5" s="1"/>
  <c r="E24" i="5" s="1"/>
  <c r="D25" i="5"/>
  <c r="F25" i="5" s="1"/>
  <c r="E25" i="5" s="1"/>
  <c r="F16" i="5"/>
  <c r="D17" i="5"/>
  <c r="D18" i="5" s="1"/>
  <c r="F18" i="5" s="1"/>
  <c r="F19" i="5"/>
  <c r="E19" i="5" s="1"/>
  <c r="D21" i="5"/>
  <c r="F21" i="5" s="1"/>
  <c r="E21" i="5" s="1"/>
  <c r="F26" i="1"/>
  <c r="E26" i="1"/>
  <c r="E16" i="5" l="1"/>
  <c r="F17" i="5"/>
  <c r="F14" i="5" s="1"/>
  <c r="F28" i="5" s="1"/>
  <c r="F30" i="5" s="1"/>
  <c r="E18" i="5"/>
  <c r="E17" i="5" s="1"/>
  <c r="E14" i="5" l="1"/>
  <c r="E28" i="5" s="1"/>
  <c r="E33" i="1" s="1"/>
  <c r="E39" i="1" l="1"/>
  <c r="D24" i="1"/>
  <c r="D22" i="1"/>
  <c r="E22" i="1" s="1"/>
  <c r="H22" i="1" s="1"/>
  <c r="D21" i="1"/>
  <c r="F21" i="1" s="1"/>
  <c r="H21" i="1" s="1"/>
  <c r="D11" i="1"/>
  <c r="E11" i="1" s="1"/>
  <c r="I11" i="1" l="1"/>
  <c r="L11" i="1" s="1"/>
  <c r="H11" i="1"/>
  <c r="G30" i="1"/>
  <c r="G29" i="1"/>
  <c r="K29" i="1" s="1"/>
  <c r="G31" i="1"/>
  <c r="K31" i="1" s="1"/>
  <c r="J21" i="1"/>
  <c r="L21" i="1" s="1"/>
  <c r="G27" i="1"/>
  <c r="K27" i="1" s="1"/>
  <c r="K26" i="1" s="1"/>
  <c r="G25" i="1"/>
  <c r="G13" i="1"/>
  <c r="H13" i="1" s="1"/>
  <c r="D12" i="1"/>
  <c r="D10" i="1"/>
  <c r="E10" i="1" s="1"/>
  <c r="D16" i="1"/>
  <c r="D15" i="1"/>
  <c r="D14" i="1"/>
  <c r="F14" i="1" s="1"/>
  <c r="D9" i="1"/>
  <c r="G9" i="1" s="1"/>
  <c r="D6" i="1"/>
  <c r="K25" i="1" l="1"/>
  <c r="G24" i="1"/>
  <c r="H24" i="1" s="1"/>
  <c r="H25" i="1"/>
  <c r="J14" i="1"/>
  <c r="L14" i="1" s="1"/>
  <c r="H14" i="1"/>
  <c r="I10" i="1"/>
  <c r="H10" i="1"/>
  <c r="K9" i="1"/>
  <c r="H9" i="1"/>
  <c r="G28" i="1"/>
  <c r="K30" i="1"/>
  <c r="K28" i="1" s="1"/>
  <c r="G26" i="1"/>
  <c r="K13" i="1"/>
  <c r="G12" i="1"/>
  <c r="G8" i="1"/>
  <c r="F8" i="1"/>
  <c r="F5" i="1" s="1"/>
  <c r="E8" i="1"/>
  <c r="D8" i="1"/>
  <c r="D5" i="1" s="1"/>
  <c r="E6" i="1"/>
  <c r="H6" i="1" s="1"/>
  <c r="J5" i="1" l="1"/>
  <c r="J34" i="1" s="1"/>
  <c r="K24" i="1"/>
  <c r="L24" i="1" s="1"/>
  <c r="L25" i="1"/>
  <c r="H12" i="1"/>
  <c r="K12" i="1"/>
  <c r="L12" i="1" s="1"/>
  <c r="L13" i="1"/>
  <c r="I8" i="1"/>
  <c r="I5" i="1" s="1"/>
  <c r="I34" i="1" s="1"/>
  <c r="I35" i="1" s="1"/>
  <c r="L10" i="1"/>
  <c r="H8" i="1"/>
  <c r="K8" i="1"/>
  <c r="L9" i="1"/>
  <c r="J35" i="1"/>
  <c r="G5" i="1"/>
  <c r="G34" i="1" s="1"/>
  <c r="E5" i="1"/>
  <c r="F34" i="1"/>
  <c r="F45" i="1" s="1"/>
  <c r="F48" i="1" s="1"/>
  <c r="H5" i="1" l="1"/>
  <c r="L8" i="1"/>
  <c r="L5" i="1" s="1"/>
  <c r="K5" i="1"/>
  <c r="K34" i="1" s="1"/>
  <c r="K35" i="1" s="1"/>
  <c r="L35" i="1" s="1"/>
  <c r="G45" i="1"/>
  <c r="G48" i="1" s="1"/>
  <c r="F35" i="1"/>
  <c r="G35" i="1"/>
  <c r="E34" i="1"/>
  <c r="E46" i="1" s="1"/>
  <c r="E48" i="1" s="1"/>
  <c r="L34" i="1" l="1"/>
  <c r="H34" i="1"/>
  <c r="H45" i="1"/>
  <c r="E35" i="1"/>
  <c r="H35" i="1" s="1"/>
  <c r="H48" i="1" l="1"/>
  <c r="H46" i="1"/>
</calcChain>
</file>

<file path=xl/sharedStrings.xml><?xml version="1.0" encoding="utf-8"?>
<sst xmlns="http://schemas.openxmlformats.org/spreadsheetml/2006/main" count="320" uniqueCount="217">
  <si>
    <t>№ п/п</t>
  </si>
  <si>
    <t>Наименование инвестиционного проекта</t>
  </si>
  <si>
    <t>Объем финансирования, с НДС</t>
  </si>
  <si>
    <t xml:space="preserve">Наименование </t>
  </si>
  <si>
    <t>Индексы -дефляторы Министерства экономического развития  по строке ("Инвестиции в основной капитал")</t>
  </si>
  <si>
    <t>Применение дефляторов и индексов в программе</t>
  </si>
  <si>
    <t>https://www.economy.gov.ru/material/directions/makroec/prognozy_socialno_ekonomicheskogo_razvitiya/prognoz_socialno_ekonomicheskogo_razvitiya_rf_na_2024_god_i_na_planovyy_period_2025_i_2026_godov.html</t>
  </si>
  <si>
    <t>Прогноз социально-экономического развития Российской Федерации на 2023 год и на плановый период 2024 и 2025 годов  от 22.09.2023 (базовый)</t>
  </si>
  <si>
    <t>Стоимость в ценах 4 кв. 2023 года</t>
  </si>
  <si>
    <t>перенос с 2024</t>
  </si>
  <si>
    <t>входная группа</t>
  </si>
  <si>
    <t>Фасад, кровля</t>
  </si>
  <si>
    <t xml:space="preserve">Монтаж ограждения территории  офисного здания, реконструкция отмостки здания </t>
  </si>
  <si>
    <t>I</t>
  </si>
  <si>
    <t>Реконструкция гаража представительства по адресу: Костромская обл., г.Нерехта, ул. Свердлова, 9</t>
  </si>
  <si>
    <t>Реконструкция гаражных боксов по адресу: Костромская обл., п.гт. Кадый, ул. Новая, д.4а</t>
  </si>
  <si>
    <t xml:space="preserve">II </t>
  </si>
  <si>
    <t>Покупка транспортных средств</t>
  </si>
  <si>
    <t>2.1.</t>
  </si>
  <si>
    <t>III</t>
  </si>
  <si>
    <t>Покупка серверного оборудования</t>
  </si>
  <si>
    <t>IV</t>
  </si>
  <si>
    <t xml:space="preserve">Создание интеллектуальной системы учета электрической энергии (мощности) в многоквартирных домах                                                                                                                                                                    </t>
  </si>
  <si>
    <t>3.1.</t>
  </si>
  <si>
    <t>3.2.</t>
  </si>
  <si>
    <t>3.3.</t>
  </si>
  <si>
    <t xml:space="preserve">ИПЦ </t>
  </si>
  <si>
    <t>Наименование</t>
  </si>
  <si>
    <t>Номер расценки</t>
  </si>
  <si>
    <t>Ед. изм.</t>
  </si>
  <si>
    <t>Цена по УНЦ, 
тыс. руб. без НДС</t>
  </si>
  <si>
    <t>Коэффициент перехода к УНЦ Костромской обл.</t>
  </si>
  <si>
    <t>Цена по УНЦ Костромской  обл., тыс. руб. без НДС</t>
  </si>
  <si>
    <t>Кол-во приборов учета, шт. (согласно реестрам)</t>
  </si>
  <si>
    <t>Итого стоимость по УНЦ, 
тыс. руб. без НДС</t>
  </si>
  <si>
    <t>1 точка учета</t>
  </si>
  <si>
    <t xml:space="preserve">по укрупненным нормативам цены (УНЦ) типовых технологических решений капитального строительства объектов электроэнергетики в части объектов электросетевого хозяйства, утвержденных Приказом Минэнерго России от 26.02.2024 N 131 (глава IX)
</t>
  </si>
  <si>
    <t>2025 год</t>
  </si>
  <si>
    <t>2027 год</t>
  </si>
  <si>
    <t>Индекс-дефлятор  Министерства экономического развития  по строке ("Инвестиции в основной капитал"), начиная с 2025 года,%</t>
  </si>
  <si>
    <t>4,8*4,6</t>
  </si>
  <si>
    <t>4,8*4,6*4,6</t>
  </si>
  <si>
    <t>Итого стоимость по УНЦ, без НДС (в ценах на 01.01.2023 г.), 
тыс. руб. без НДС</t>
  </si>
  <si>
    <t>ВСЕГО  ЗА  2025-2027 гг</t>
  </si>
  <si>
    <t>Установка однофазного прибора учета в существующем шкафу с организацией связи по радиоинтерфейсу (истекает МПИ)</t>
  </si>
  <si>
    <t>Установка шкафа с однофазным прибором учета с организацией связи по радиоинтерфейсу (прибор учета отсутствовал)</t>
  </si>
  <si>
    <t>Организация однофазного ввода к потребителю в многоквартирном доме (прибор учета отсутствовал)</t>
  </si>
  <si>
    <t>А1-69</t>
  </si>
  <si>
    <t>А1-22</t>
  </si>
  <si>
    <t>А1-18</t>
  </si>
  <si>
    <t>Однофазные (индивидуальные приборы учета)</t>
  </si>
  <si>
    <t xml:space="preserve">Трехфазные  (общедомовые) приборы </t>
  </si>
  <si>
    <t>Установка трехфазного прибора учета в существующем шкафу с организацией связи по радиоинтерфейсу (истекает МПИ)</t>
  </si>
  <si>
    <t>А1-26</t>
  </si>
  <si>
    <t>А1-30</t>
  </si>
  <si>
    <t>Всего стоимость:</t>
  </si>
  <si>
    <t>Однофазные (индивидуальные) приборы учета всего в т.ч.</t>
  </si>
  <si>
    <t>1.1.</t>
  </si>
  <si>
    <t>1.2.</t>
  </si>
  <si>
    <t>1.3.</t>
  </si>
  <si>
    <t>Трехфазные  (общедомовые) приборы учета:</t>
  </si>
  <si>
    <t>2.2.</t>
  </si>
  <si>
    <t>Установка шкафа с трехфазным прибором учета с организацией связи по радиоинтерфейсу (прибор отсутствовал)</t>
  </si>
  <si>
    <t>2026 год</t>
  </si>
  <si>
    <t>Итого стоимость по УНЦ , без НДС (в ценах на 01.01.2023 г.), 
тыс. руб. без НДС</t>
  </si>
  <si>
    <t>Всего:</t>
  </si>
  <si>
    <t>Объем капитальных вложений без НДС, тыс. руб. в прогнозных ценах</t>
  </si>
  <si>
    <t xml:space="preserve">Покупка автомобилей LADA Niva (2025-6, 2026-6,2027-6) </t>
  </si>
  <si>
    <t>Колическтво, шт.</t>
  </si>
  <si>
    <t>Основание включения в план на 2025</t>
  </si>
  <si>
    <t xml:space="preserve">Приборы учета отсутствуют </t>
  </si>
  <si>
    <t>5-10А</t>
  </si>
  <si>
    <t>5-100А</t>
  </si>
  <si>
    <t>План расходов на 2025 год</t>
  </si>
  <si>
    <t>Наименование мероприятия проекта</t>
  </si>
  <si>
    <t>Расходы на 1 единицу согласно КП (сметному расчету) с учетом НДС, руб.</t>
  </si>
  <si>
    <t>Количество приборов, оборудования (материалов), шт.(ед.) план на 2025 год</t>
  </si>
  <si>
    <t>Финансовая потребность, тыс. руб. без учета НДС</t>
  </si>
  <si>
    <t>Финансовая потребность, тыс. руб. с НДС</t>
  </si>
  <si>
    <t>Примечание (обоснование)</t>
  </si>
  <si>
    <t>1.</t>
  </si>
  <si>
    <t>Расходы на приобретение приборов учета, сответствующих требованиям законодательтва (Правила мин.функционала ИСУ, ПП РФ от 19.06.2020 N890) и их установку</t>
  </si>
  <si>
    <t>Однофазные приборы учета</t>
  </si>
  <si>
    <t>1.1.1</t>
  </si>
  <si>
    <t>Однофазные приборы учета (МИРТЕК-12-РУ-W9-A1R1-230-5-80A)</t>
  </si>
  <si>
    <t xml:space="preserve">на основании КП ООО ТД "МИРТЕК" КП377 от 05.03.2024 </t>
  </si>
  <si>
    <t>1.1.2</t>
  </si>
  <si>
    <t>Работы по замене 1 ф прибора учета</t>
  </si>
  <si>
    <t>Трехфазные приборы учета</t>
  </si>
  <si>
    <t>1.2.1</t>
  </si>
  <si>
    <t>Трехфазные (общедомовые)5-10А - полукосвенного включения (МИРТЕК-32-РУ-W32-A0.5R1-230-5-10A)</t>
  </si>
  <si>
    <t>1.2.2</t>
  </si>
  <si>
    <t>Трехфазные (общедомовые)5-100А - прямого включения (МИРТЕК-32-РУ-W32-A1R1-230-5-100A)</t>
  </si>
  <si>
    <t>1.2.3</t>
  </si>
  <si>
    <t>Работы по замене 3 ф прибора учета</t>
  </si>
  <si>
    <t>1.2.4</t>
  </si>
  <si>
    <t>Работы по сборке и установке шкафа с 3ф. прибором учета (где прибора не было ранее)</t>
  </si>
  <si>
    <t xml:space="preserve">2. </t>
  </si>
  <si>
    <t>Расходы на каналообразующее оборудование для создания ИСУ(расходы на оборудование, работы по установке и расходные материалы)</t>
  </si>
  <si>
    <t>2.1</t>
  </si>
  <si>
    <t>Каналообразующее оборудование (УСПД МИРТ-881)</t>
  </si>
  <si>
    <t>2.2</t>
  </si>
  <si>
    <t>Работы по сборке, установке и подключению шкафа УСПД (сметный расчет в ценах 1 кв. 2024), без учета стоимости материалов</t>
  </si>
  <si>
    <t>2.3</t>
  </si>
  <si>
    <t>Материалы для сбора и установки шкафов УСПД (для установки  60 ед.)</t>
  </si>
  <si>
    <t>2.3.1</t>
  </si>
  <si>
    <t>Корпус пластиковый</t>
  </si>
  <si>
    <t>2.3.2</t>
  </si>
  <si>
    <t>Выключатель автоматический
модульный 2п C 6А 4.5кА ВА47-29
IEK MVA20-2-006-C</t>
  </si>
  <si>
    <t>2.3.3</t>
  </si>
  <si>
    <t xml:space="preserve">Реле напряжения </t>
  </si>
  <si>
    <t>2.3.4</t>
  </si>
  <si>
    <t>DIN-рейка L200 оцинк. IEK YDN10-
0020</t>
  </si>
  <si>
    <t>2.3.5</t>
  </si>
  <si>
    <t>Провод ПуГВ 1х6 Б 450/750В (бухта)
(м)</t>
  </si>
  <si>
    <t>2.3.6</t>
  </si>
  <si>
    <t>Розетка силовая РАр10-3-ОП с
заземл. на DIN-рейку IEK MRD10-16</t>
  </si>
  <si>
    <t>2.3.7</t>
  </si>
  <si>
    <t>Шина PE "земля" на DIN-изол. ШНИ-
8х12-10-Д-Ж IEK YNN10-812-10D-K05</t>
  </si>
  <si>
    <t>2.3.8</t>
  </si>
  <si>
    <t>Шина нулевая на DIN-изол. ШНИ-
8х12-10-Д-С IEK YNN10-812-10D-K07</t>
  </si>
  <si>
    <t>2.3.9</t>
  </si>
  <si>
    <t>Ограничитель перенапряжения
ОПС1-B 1P IEK MOP20-1-B</t>
  </si>
  <si>
    <t>2.3.10</t>
  </si>
  <si>
    <t>Кабель ВВГ-Пнг(А)-LS 3х2.5 ОК (N
PE) 0.66кВ (уп.100м) Монэл
020002302</t>
  </si>
  <si>
    <t>Итого расходы на 2025 год ( в ценах 2024 года )</t>
  </si>
  <si>
    <t xml:space="preserve"> дефлятор на 2025 год</t>
  </si>
  <si>
    <t>Расходы на 2025 год с учетом дефлятора 2025 года</t>
  </si>
  <si>
    <t>Расчет количества УСПД, необходимых для создания ИСУ на 2025 год</t>
  </si>
  <si>
    <t>Колво ПУ однофазных_2025</t>
  </si>
  <si>
    <t xml:space="preserve">Количество ПУ на 1 УСПД по ППРФ №890 Раздел 4 Пункт 37 </t>
  </si>
  <si>
    <t xml:space="preserve">Расчетное количество УСПД (минимальное) для организации доступа к мин.набору функций ИСУ </t>
  </si>
  <si>
    <t>Рассчет количества УСПД (количество обусловлено необходимостью обеспечения доступа потребителей с установленными интеллектуальными приборами учета к минимальному набору функций ИСУ)</t>
  </si>
  <si>
    <t xml:space="preserve">Создание интеллектуальной системы учета электрической энергии (мощности) в многоквартирных домах (ИСУЭ) ПАО "КСК" на территории Костромской области </t>
  </si>
  <si>
    <t xml:space="preserve">Установка трехфазного прибора учета в существующем шкафу с организацией связи по радиоинтерфейсу </t>
  </si>
  <si>
    <t>Установка однофазного прибора учета в существующем шкафу с организацией связи по радиоинтерфейсу</t>
  </si>
  <si>
    <t>Реконструкция офисного здания представительства по адресу:Костромская обл.,  с. Пыщуг, ул. Советская, д. 7</t>
  </si>
  <si>
    <t>Реконструкция офисного здания представительства, по адресу:  п. Сусанино, ул. К.Маркса, д. 20</t>
  </si>
  <si>
    <t xml:space="preserve"> входная группа, фасад</t>
  </si>
  <si>
    <t>Реконструкция офисного здания представительства  по адресу: г.Нерехта, ул.Орехова, д.5</t>
  </si>
  <si>
    <t xml:space="preserve">Реконструкция офисного здания представительства  по адресу: Костромская область,Антроповский р-н, пос. Антропово, ул.Свободы, д.7. </t>
  </si>
  <si>
    <t>Реконструкция офисного здания представительства по адресу: Костромская область, г.Шарья, ул.Центральная, дом 13</t>
  </si>
  <si>
    <t>Фасад</t>
  </si>
  <si>
    <t>Реконструкция офисного здания представительства  по адресу: Костромская олл, Солигалический р-н,  г. Солигалич, ул. Карла Либкнехта, д. 25/15</t>
  </si>
  <si>
    <t>Реконструкция офисного здания представительства по адресу: : Костромская область, Нейский р-н., г. Нея, ул. Любимова д. 90.</t>
  </si>
  <si>
    <t xml:space="preserve">Перечень инвестиционных проектов на 2025-2027 гг. ПАО "Костромская сбытовая компания" </t>
  </si>
  <si>
    <t>Примечание</t>
  </si>
  <si>
    <t>V</t>
  </si>
  <si>
    <t>Идентификатор инвестиционного проекта</t>
  </si>
  <si>
    <t>Обоснование стоимости</t>
  </si>
  <si>
    <t xml:space="preserve"> без мероприятий ИСУ</t>
  </si>
  <si>
    <t>Итого по мероприятиям ИП</t>
  </si>
  <si>
    <t xml:space="preserve">п.п. 80(1)Постановление Правительства РФ от 06.05.2011 N 354 ( с 1 января 2025 - штрафные санкции)
</t>
  </si>
  <si>
    <t xml:space="preserve">п.п. 151 Постановление Правительства РФ от 04.05.2012 N 442  ( с 1 января 2025 - штрафные санкции)
</t>
  </si>
  <si>
    <t>Истекает МПИ (в 2025 и ранее)</t>
  </si>
  <si>
    <t>План по замене приборов учета на 2025 год в соотсветствии с требованиями законодательства (Федеральный закон от 27.12.2018 № 522-ФЗ)</t>
  </si>
  <si>
    <t>Приложение № 1</t>
  </si>
  <si>
    <t>Приложение № 2</t>
  </si>
  <si>
    <t>Приложение № 3</t>
  </si>
  <si>
    <t xml:space="preserve">Создание интеллектуальной системы учета электрической энергии (мощности) в многоквартирных домах      (O_KSK_5.1)                                                                                                                                                             </t>
  </si>
  <si>
    <t>O_KSK_1.1</t>
  </si>
  <si>
    <t>O_KSK_1.2</t>
  </si>
  <si>
    <t>O_KSK_1.3</t>
  </si>
  <si>
    <t>O_KSK_1.4</t>
  </si>
  <si>
    <t>O_KSK_1.5</t>
  </si>
  <si>
    <t>O_KSK_1.6</t>
  </si>
  <si>
    <t>O_KSK_1.7</t>
  </si>
  <si>
    <t>O_KSK_1.8</t>
  </si>
  <si>
    <t>O_KSK_1.9</t>
  </si>
  <si>
    <t>O_KSK_1.10</t>
  </si>
  <si>
    <t>O_KSK_1.11</t>
  </si>
  <si>
    <t>O_KSK_2.1</t>
  </si>
  <si>
    <t>O_KSK_3.1</t>
  </si>
  <si>
    <t>O_KSK_5.1</t>
  </si>
  <si>
    <t xml:space="preserve">Монтаж ограждения территории  и благоустройство входной группы здания </t>
  </si>
  <si>
    <t>продолжение мероприятия с 2024 года</t>
  </si>
  <si>
    <t>Строительство офисного здания представительства  по адресу: Костромская область, г.Кологрив, ул.Ладыженского в районе дома № 3 (2 этап)</t>
  </si>
  <si>
    <t>необходимость исполнения требований законодательства (исполнение обязанностей гарантирующего поставщика, возникающих в связи с принятием Федерального закона от 27.12.2018 № 522-ФЗ), мероприятия на 2026-2027 гг будут дополнительно заявлены при корректировке с учетом объемов исполнения  в 2024 году и утвержденной ИП в части ИСУ на 2025 год</t>
  </si>
  <si>
    <t>Амортизация в НВВ сбыт</t>
  </si>
  <si>
    <t>Капитальные вложения из прибыли в НВВ</t>
  </si>
  <si>
    <t>Итого по ИП, без НДС, тыс.руб.</t>
  </si>
  <si>
    <t>Итого на период реализации ИП, тыс. руб.</t>
  </si>
  <si>
    <t>Источники финансирования</t>
  </si>
  <si>
    <t>Реконструкция кровельного покрытия офисного здания по адресу: г.Кострома, пр.Мира, 37-39-28</t>
  </si>
  <si>
    <t>Реконструкция офисных зданий и новое строительство</t>
  </si>
  <si>
    <t>Прочие источники (прочая амортизация)</t>
  </si>
  <si>
    <t>Покупка серверного и сетевого оборудования, оргтехники, программного обеспечения</t>
  </si>
  <si>
    <t>Неисключительное право на
ПО "Пирамида 2.0"
(Обновление)</t>
  </si>
  <si>
    <t>3.4.</t>
  </si>
  <si>
    <t xml:space="preserve">Покупка персональных компьютеров (ПК  c Windows 10 pro64, монитор, клавиатура+мышь) 60 компл. </t>
  </si>
  <si>
    <t>O_KSK_3.2</t>
  </si>
  <si>
    <t>O_KSK_3.3</t>
  </si>
  <si>
    <t>O_KSK_3.4</t>
  </si>
  <si>
    <t>Покупка многофункциональных устройств (Цифровое МФУ IM 2702 - 3 шт.)</t>
  </si>
  <si>
    <t>Сметный расчет  № 2-5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</si>
  <si>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2-7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</si>
  <si>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2-6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</si>
  <si>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2-3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</si>
  <si>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2-2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</si>
  <si>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2-8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</si>
  <si>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2-17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</si>
  <si>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2-18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</si>
  <si>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2-16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</si>
  <si>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2-19 ФСНБ-2022 с доп. и изм. 8 (приказ Минстроя России № 817/пр) ресурсно-индексный метод, с индексацией на дефлятор "Инвестиции в основной капитал"</t>
  </si>
  <si>
    <t>Сметный расчет  № 2-15 ФСНБ-2022 с доп. и изм. 8 (приказ Минстроя России № 817/пр) ресурсно-индексный метод, с индексацией на дефлятор "Инвестиции в основной капитал"</t>
  </si>
  <si>
    <t>КП Кострома-Лада-Сервис от 26.03.2024 (покупка у официального дилера LADA)мин.цена,с индексацией на дефлятор "Инвестиции в основной капитал"</t>
  </si>
  <si>
    <t>Анализ рынка (КП 3 постащика), мин цена ИП Галкина А.В. (постоянный поставщик, предоставление скидки) сч. 1125 от 11.04.2024 ,с индексацией на дефлятор "Инвестиции в основной капитал"</t>
  </si>
  <si>
    <t>перенос с 2024 (почтовый сервер)</t>
  </si>
  <si>
    <t>Анализ рынка (КП 3 постащика), мин цена ИП Галкина А.В. (постоянный поставщик, предоставление скидки) сч. 1123 от 11.04.2024 (почтовый сервер-2025),сч. 1111 от 11.04.2024 (сервер в сборе - обеспечение ИСУ-2026),сч. 1112 от 11.04.2024 (диски к серверу обеспечение ИСУ-2027) с индексацией на дефлятор "Инвестиции в основной капитал"</t>
  </si>
  <si>
    <t>Итого на 2025-2027 (без НДС)</t>
  </si>
  <si>
    <t>Итого на 2025-2027 (с НДС)</t>
  </si>
  <si>
    <t>Стоимость материалов на основании счета № 42241813 от 29.03.2024 (мин.цены, постоянный поставщик)</t>
  </si>
  <si>
    <t>Сметный расчет в ценах 1 кв. 2024 года ресурсно-индексный метод</t>
  </si>
  <si>
    <t>Сметный расчет  № 2-4 ФСНБ-2022 с доп. и изм. 8 (приказ Минстроя России № 817/пр) ресурсно-индексный метод, с индексацией на дефлятор "Инвестиции в основной капитал"</t>
  </si>
  <si>
    <t>перенос с 2024 года</t>
  </si>
  <si>
    <t>Коммерческое предложения на приборы и оборудование, счет на материлы, сметные расчеты на монтажные работы, (дополнительно расчет по УНЦ) с индексацией на дефлятор "Инвестиции в основной капитал"</t>
  </si>
  <si>
    <t>КП № 1080 от 10.04.2024 ООО "АСТЭК" с индексацией на дефлятор "Инвестиции в основной капитал"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</si>
</sst>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_р_._-;\-* #,##0.00_р_._-;_-* &quot;-&quot;??_р_._-;_-@_-"/>
    <numFmt numFmtId="165" formatCode="#,##0.0"/>
    <numFmt numFmtId="166" formatCode="_-* #,##0.00\ _₽_-;\-* #,##0.00\ _₽_-;_-* &quot;-&quot;??\ _₽_-;_-@_-"/>
    <numFmt numFmtId="167" formatCode="[$-419]dd/mmm"/>
    <numFmt numFmtId="168" formatCode="0.000000"/>
    <numFmt numFmtId="169" formatCode="#,##0.000"/>
    <numFmt numFmtId="170" formatCode="#,##0.000000000"/>
    <numFmt numFmtId="171" formatCode="#,##0.000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/>
    <xf numFmtId="0" fontId="8" fillId="0" borderId="0"/>
    <xf numFmtId="0" fontId="10" fillId="0" borderId="0"/>
    <xf numFmtId="164" fontId="8" fillId="0" borderId="0" applyFont="0" applyFill="0" applyBorder="0" applyAlignment="0" applyProtection="0"/>
    <xf numFmtId="0" fontId="15" fillId="0" borderId="0"/>
    <xf numFmtId="0" fontId="17" fillId="0" borderId="0"/>
    <xf numFmtId="0" fontId="15" fillId="0" borderId="0"/>
    <xf numFmtId="0" fontId="10" fillId="0" borderId="0"/>
    <xf numFmtId="0" fontId="24" fillId="0" borderId="0" applyNumberFormat="0" applyFill="0" applyBorder="0" applyAlignment="0" applyProtection="0"/>
    <xf numFmtId="0" fontId="10" fillId="0" borderId="0"/>
    <xf numFmtId="0" fontId="8" fillId="0" borderId="0"/>
  </cellStyleXfs>
  <cellXfs count="2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4" fontId="0" fillId="0" borderId="0" xfId="0" applyNumberFormat="1"/>
    <xf numFmtId="4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right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4" fontId="5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1" fillId="0" borderId="1" xfId="4" applyFont="1" applyBorder="1" applyAlignment="1">
      <alignment horizontal="center" vertical="center"/>
    </xf>
    <xf numFmtId="0" fontId="16" fillId="0" borderId="0" xfId="5" applyFont="1"/>
    <xf numFmtId="0" fontId="15" fillId="0" borderId="0" xfId="5"/>
    <xf numFmtId="3" fontId="1" fillId="0" borderId="1" xfId="6" applyNumberFormat="1" applyFont="1" applyBorder="1" applyAlignment="1">
      <alignment horizontal="center" vertical="center" wrapText="1"/>
    </xf>
    <xf numFmtId="3" fontId="16" fillId="0" borderId="1" xfId="6" applyNumberFormat="1" applyFont="1" applyBorder="1" applyAlignment="1">
      <alignment horizontal="center" vertical="center" wrapText="1"/>
    </xf>
    <xf numFmtId="4" fontId="11" fillId="0" borderId="1" xfId="4" applyNumberFormat="1" applyFont="1" applyBorder="1" applyAlignment="1">
      <alignment horizontal="center" vertical="center"/>
    </xf>
    <xf numFmtId="0" fontId="2" fillId="0" borderId="0" xfId="1" applyAlignment="1">
      <alignment horizontal="center"/>
    </xf>
    <xf numFmtId="0" fontId="16" fillId="0" borderId="10" xfId="5" applyFont="1" applyBorder="1" applyAlignment="1">
      <alignment horizontal="center" vertical="center"/>
    </xf>
    <xf numFmtId="0" fontId="16" fillId="0" borderId="11" xfId="6" applyFont="1" applyBorder="1" applyAlignment="1">
      <alignment horizontal="center" vertical="center"/>
    </xf>
    <xf numFmtId="0" fontId="16" fillId="0" borderId="12" xfId="5" applyFont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/>
    </xf>
    <xf numFmtId="0" fontId="1" fillId="0" borderId="1" xfId="6" applyFont="1" applyBorder="1" applyAlignment="1">
      <alignment horizontal="left" vertical="center" wrapText="1"/>
    </xf>
    <xf numFmtId="0" fontId="1" fillId="0" borderId="3" xfId="5" applyFont="1" applyBorder="1" applyAlignment="1">
      <alignment horizontal="center" vertical="center" wrapText="1"/>
    </xf>
    <xf numFmtId="167" fontId="16" fillId="0" borderId="2" xfId="5" applyNumberFormat="1" applyFont="1" applyBorder="1" applyAlignment="1">
      <alignment horizontal="center" vertical="center"/>
    </xf>
    <xf numFmtId="0" fontId="16" fillId="0" borderId="3" xfId="5" applyFont="1" applyBorder="1" applyAlignment="1">
      <alignment horizontal="center" vertical="center" wrapText="1"/>
    </xf>
    <xf numFmtId="167" fontId="1" fillId="0" borderId="2" xfId="5" applyNumberFormat="1" applyFont="1" applyBorder="1" applyAlignment="1">
      <alignment horizontal="center" vertical="center"/>
    </xf>
    <xf numFmtId="0" fontId="19" fillId="0" borderId="1" xfId="5" applyFont="1" applyBorder="1" applyAlignment="1">
      <alignment horizontal="left" vertical="center"/>
    </xf>
    <xf numFmtId="0" fontId="16" fillId="0" borderId="2" xfId="5" applyFont="1" applyBorder="1" applyAlignment="1">
      <alignment horizontal="center" vertical="center"/>
    </xf>
    <xf numFmtId="0" fontId="16" fillId="0" borderId="3" xfId="5" applyFont="1" applyBorder="1" applyAlignment="1">
      <alignment horizontal="center" vertical="center"/>
    </xf>
    <xf numFmtId="0" fontId="16" fillId="0" borderId="4" xfId="5" applyFont="1" applyBorder="1" applyAlignment="1">
      <alignment horizontal="center" vertical="center"/>
    </xf>
    <xf numFmtId="0" fontId="19" fillId="0" borderId="5" xfId="5" applyFont="1" applyBorder="1" applyAlignment="1">
      <alignment horizontal="left" vertical="center"/>
    </xf>
    <xf numFmtId="3" fontId="16" fillId="0" borderId="5" xfId="6" applyNumberFormat="1" applyFont="1" applyBorder="1" applyAlignment="1">
      <alignment horizontal="center" vertical="center" wrapText="1"/>
    </xf>
    <xf numFmtId="0" fontId="16" fillId="0" borderId="6" xfId="5" applyFont="1" applyBorder="1" applyAlignment="1">
      <alignment horizontal="center" vertical="center"/>
    </xf>
    <xf numFmtId="0" fontId="15" fillId="0" borderId="0" xfId="7"/>
    <xf numFmtId="0" fontId="6" fillId="0" borderId="0" xfId="8" applyFont="1" applyAlignment="1">
      <alignment horizontal="right" vertical="top"/>
    </xf>
    <xf numFmtId="0" fontId="3" fillId="0" borderId="10" xfId="7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/>
    </xf>
    <xf numFmtId="0" fontId="3" fillId="0" borderId="11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20" fillId="0" borderId="0" xfId="7" applyFont="1"/>
    <xf numFmtId="49" fontId="6" fillId="4" borderId="2" xfId="7" applyNumberFormat="1" applyFont="1" applyFill="1" applyBorder="1" applyAlignment="1">
      <alignment horizontal="center"/>
    </xf>
    <xf numFmtId="0" fontId="13" fillId="4" borderId="1" xfId="7" applyFont="1" applyFill="1" applyBorder="1" applyAlignment="1">
      <alignment horizontal="left" vertical="center" wrapText="1"/>
    </xf>
    <xf numFmtId="0" fontId="11" fillId="4" borderId="1" xfId="7" applyFont="1" applyFill="1" applyBorder="1" applyAlignment="1">
      <alignment horizontal="center" vertical="center" wrapText="1"/>
    </xf>
    <xf numFmtId="4" fontId="13" fillId="4" borderId="1" xfId="7" applyNumberFormat="1" applyFont="1" applyFill="1" applyBorder="1" applyAlignment="1">
      <alignment horizontal="center" vertical="center" wrapText="1"/>
    </xf>
    <xf numFmtId="0" fontId="3" fillId="4" borderId="3" xfId="7" applyFont="1" applyFill="1" applyBorder="1" applyAlignment="1">
      <alignment horizontal="center" vertical="center" wrapText="1"/>
    </xf>
    <xf numFmtId="168" fontId="15" fillId="0" borderId="0" xfId="7" applyNumberFormat="1"/>
    <xf numFmtId="3" fontId="13" fillId="4" borderId="1" xfId="7" applyNumberFormat="1" applyFont="1" applyFill="1" applyBorder="1" applyAlignment="1">
      <alignment horizontal="center" vertical="center" wrapText="1"/>
    </xf>
    <xf numFmtId="49" fontId="19" fillId="0" borderId="2" xfId="7" applyNumberFormat="1" applyFont="1" applyBorder="1" applyAlignment="1">
      <alignment horizontal="center"/>
    </xf>
    <xf numFmtId="0" fontId="21" fillId="0" borderId="1" xfId="7" applyFont="1" applyBorder="1" applyAlignment="1">
      <alignment wrapText="1"/>
    </xf>
    <xf numFmtId="4" fontId="21" fillId="0" borderId="1" xfId="7" applyNumberFormat="1" applyFont="1" applyBorder="1" applyAlignment="1">
      <alignment horizontal="center" vertical="center"/>
    </xf>
    <xf numFmtId="3" fontId="21" fillId="0" borderId="1" xfId="7" applyNumberFormat="1" applyFont="1" applyBorder="1" applyAlignment="1">
      <alignment horizontal="center" vertical="center"/>
    </xf>
    <xf numFmtId="169" fontId="3" fillId="0" borderId="3" xfId="7" applyNumberFormat="1" applyFont="1" applyBorder="1" applyAlignment="1">
      <alignment vertical="center" wrapText="1"/>
    </xf>
    <xf numFmtId="0" fontId="13" fillId="4" borderId="1" xfId="7" applyFont="1" applyFill="1" applyBorder="1" applyAlignment="1">
      <alignment wrapText="1"/>
    </xf>
    <xf numFmtId="4" fontId="11" fillId="4" borderId="1" xfId="7" applyNumberFormat="1" applyFont="1" applyFill="1" applyBorder="1" applyAlignment="1">
      <alignment horizontal="center" vertical="center"/>
    </xf>
    <xf numFmtId="3" fontId="13" fillId="4" borderId="1" xfId="7" applyNumberFormat="1" applyFont="1" applyFill="1" applyBorder="1" applyAlignment="1">
      <alignment horizontal="center" vertical="center"/>
    </xf>
    <xf numFmtId="4" fontId="13" fillId="4" borderId="1" xfId="7" applyNumberFormat="1" applyFont="1" applyFill="1" applyBorder="1" applyAlignment="1">
      <alignment horizontal="center" vertical="center"/>
    </xf>
    <xf numFmtId="169" fontId="3" fillId="4" borderId="3" xfId="7" applyNumberFormat="1" applyFont="1" applyFill="1" applyBorder="1" applyAlignment="1">
      <alignment horizontal="center" vertical="center"/>
    </xf>
    <xf numFmtId="0" fontId="3" fillId="0" borderId="1" xfId="7" applyFont="1" applyBorder="1" applyAlignment="1">
      <alignment wrapText="1"/>
    </xf>
    <xf numFmtId="4" fontId="3" fillId="0" borderId="1" xfId="7" applyNumberFormat="1" applyFont="1" applyBorder="1" applyAlignment="1">
      <alignment horizontal="center" vertical="center"/>
    </xf>
    <xf numFmtId="3" fontId="3" fillId="0" borderId="1" xfId="7" applyNumberFormat="1" applyFont="1" applyBorder="1" applyAlignment="1">
      <alignment horizontal="center" vertical="center"/>
    </xf>
    <xf numFmtId="0" fontId="22" fillId="0" borderId="1" xfId="7" applyFont="1" applyBorder="1" applyAlignment="1">
      <alignment horizontal="left" wrapText="1"/>
    </xf>
    <xf numFmtId="0" fontId="3" fillId="0" borderId="1" xfId="7" applyFont="1" applyBorder="1" applyAlignment="1">
      <alignment horizontal="center" vertical="center"/>
    </xf>
    <xf numFmtId="0" fontId="13" fillId="4" borderId="1" xfId="7" applyFont="1" applyFill="1" applyBorder="1"/>
    <xf numFmtId="0" fontId="11" fillId="4" borderId="1" xfId="7" applyFont="1" applyFill="1" applyBorder="1"/>
    <xf numFmtId="4" fontId="13" fillId="4" borderId="1" xfId="7" applyNumberFormat="1" applyFont="1" applyFill="1" applyBorder="1" applyAlignment="1">
      <alignment horizontal="center"/>
    </xf>
    <xf numFmtId="169" fontId="23" fillId="4" borderId="3" xfId="7" applyNumberFormat="1" applyFont="1" applyFill="1" applyBorder="1" applyAlignment="1">
      <alignment horizontal="center"/>
    </xf>
    <xf numFmtId="0" fontId="13" fillId="4" borderId="2" xfId="7" applyFont="1" applyFill="1" applyBorder="1"/>
    <xf numFmtId="49" fontId="6" fillId="4" borderId="4" xfId="7" applyNumberFormat="1" applyFont="1" applyFill="1" applyBorder="1" applyAlignment="1">
      <alignment horizontal="center"/>
    </xf>
    <xf numFmtId="0" fontId="13" fillId="4" borderId="5" xfId="7" applyFont="1" applyFill="1" applyBorder="1"/>
    <xf numFmtId="0" fontId="11" fillId="4" borderId="5" xfId="7" applyFont="1" applyFill="1" applyBorder="1"/>
    <xf numFmtId="4" fontId="13" fillId="4" borderId="5" xfId="7" applyNumberFormat="1" applyFont="1" applyFill="1" applyBorder="1" applyAlignment="1">
      <alignment horizontal="center"/>
    </xf>
    <xf numFmtId="169" fontId="23" fillId="4" borderId="6" xfId="7" applyNumberFormat="1" applyFont="1" applyFill="1" applyBorder="1" applyAlignment="1">
      <alignment horizontal="center"/>
    </xf>
    <xf numFmtId="0" fontId="3" fillId="0" borderId="0" xfId="7" applyFont="1"/>
    <xf numFmtId="0" fontId="3" fillId="0" borderId="1" xfId="5" applyFont="1" applyBorder="1"/>
    <xf numFmtId="0" fontId="3" fillId="0" borderId="1" xfId="5" applyFont="1" applyBorder="1" applyAlignment="1">
      <alignment horizontal="center"/>
    </xf>
    <xf numFmtId="0" fontId="3" fillId="0" borderId="0" xfId="5" applyFont="1" applyAlignment="1">
      <alignment horizontal="center"/>
    </xf>
    <xf numFmtId="0" fontId="15" fillId="0" borderId="0" xfId="5" applyAlignment="1">
      <alignment horizontal="center"/>
    </xf>
    <xf numFmtId="0" fontId="3" fillId="0" borderId="1" xfId="5" applyFont="1" applyBorder="1" applyAlignment="1">
      <alignment wrapText="1"/>
    </xf>
    <xf numFmtId="0" fontId="1" fillId="0" borderId="0" xfId="5" applyFont="1" applyAlignment="1">
      <alignment wrapText="1"/>
    </xf>
    <xf numFmtId="4" fontId="15" fillId="0" borderId="0" xfId="5" applyNumberFormat="1"/>
    <xf numFmtId="0" fontId="16" fillId="0" borderId="0" xfId="7" applyFont="1"/>
    <xf numFmtId="0" fontId="1" fillId="0" borderId="0" xfId="7" applyFont="1"/>
    <xf numFmtId="0" fontId="10" fillId="0" borderId="10" xfId="10" applyBorder="1"/>
    <xf numFmtId="0" fontId="1" fillId="0" borderId="11" xfId="10" applyFont="1" applyBorder="1" applyAlignment="1">
      <alignment horizontal="center" vertical="center" wrapText="1"/>
    </xf>
    <xf numFmtId="0" fontId="1" fillId="0" borderId="12" xfId="10" applyFont="1" applyBorder="1" applyAlignment="1">
      <alignment horizontal="center" vertical="center" wrapText="1"/>
    </xf>
    <xf numFmtId="0" fontId="1" fillId="0" borderId="4" xfId="10" applyFont="1" applyBorder="1" applyAlignment="1">
      <alignment horizontal="left" vertical="center" wrapText="1"/>
    </xf>
    <xf numFmtId="3" fontId="16" fillId="0" borderId="5" xfId="10" applyNumberFormat="1" applyFont="1" applyBorder="1" applyAlignment="1">
      <alignment horizontal="center" vertical="center"/>
    </xf>
    <xf numFmtId="3" fontId="16" fillId="0" borderId="6" xfId="10" applyNumberFormat="1" applyFont="1" applyBorder="1" applyAlignment="1">
      <alignment horizontal="center" vertical="center"/>
    </xf>
    <xf numFmtId="0" fontId="8" fillId="0" borderId="0" xfId="11"/>
    <xf numFmtId="0" fontId="11" fillId="0" borderId="0" xfId="11" applyFont="1"/>
    <xf numFmtId="0" fontId="11" fillId="0" borderId="0" xfId="11" applyFont="1" applyAlignment="1">
      <alignment wrapText="1"/>
    </xf>
    <xf numFmtId="0" fontId="13" fillId="0" borderId="10" xfId="11" applyFont="1" applyBorder="1" applyAlignment="1">
      <alignment horizontal="center" vertical="center" wrapText="1"/>
    </xf>
    <xf numFmtId="0" fontId="13" fillId="0" borderId="11" xfId="11" applyFont="1" applyBorder="1" applyAlignment="1">
      <alignment horizontal="center" vertical="center" wrapText="1"/>
    </xf>
    <xf numFmtId="0" fontId="13" fillId="0" borderId="12" xfId="11" applyFont="1" applyBorder="1" applyAlignment="1">
      <alignment horizontal="center" vertical="center" wrapText="1"/>
    </xf>
    <xf numFmtId="0" fontId="13" fillId="0" borderId="2" xfId="11" applyFont="1" applyBorder="1"/>
    <xf numFmtId="0" fontId="11" fillId="0" borderId="1" xfId="11" applyFont="1" applyBorder="1"/>
    <xf numFmtId="0" fontId="11" fillId="0" borderId="3" xfId="11" applyFont="1" applyBorder="1"/>
    <xf numFmtId="0" fontId="14" fillId="0" borderId="0" xfId="11" applyFont="1"/>
    <xf numFmtId="0" fontId="13" fillId="0" borderId="2" xfId="11" applyFont="1" applyBorder="1" applyAlignment="1">
      <alignment wrapText="1"/>
    </xf>
    <xf numFmtId="3" fontId="13" fillId="0" borderId="1" xfId="11" applyNumberFormat="1" applyFont="1" applyBorder="1" applyAlignment="1">
      <alignment horizontal="center"/>
    </xf>
    <xf numFmtId="4" fontId="13" fillId="0" borderId="1" xfId="11" applyNumberFormat="1" applyFont="1" applyBorder="1" applyAlignment="1">
      <alignment horizontal="center"/>
    </xf>
    <xf numFmtId="4" fontId="13" fillId="0" borderId="3" xfId="11" applyNumberFormat="1" applyFont="1" applyBorder="1" applyAlignment="1">
      <alignment horizontal="center"/>
    </xf>
    <xf numFmtId="0" fontId="3" fillId="0" borderId="2" xfId="11" applyFont="1" applyBorder="1" applyAlignment="1">
      <alignment wrapText="1"/>
    </xf>
    <xf numFmtId="0" fontId="11" fillId="0" borderId="1" xfId="11" applyFont="1" applyBorder="1" applyAlignment="1">
      <alignment horizontal="center" vertical="center"/>
    </xf>
    <xf numFmtId="3" fontId="11" fillId="0" borderId="1" xfId="11" applyNumberFormat="1" applyFont="1" applyBorder="1" applyAlignment="1">
      <alignment horizontal="center" vertical="center"/>
    </xf>
    <xf numFmtId="4" fontId="11" fillId="0" borderId="1" xfId="11" applyNumberFormat="1" applyFont="1" applyBorder="1" applyAlignment="1">
      <alignment horizontal="center" vertical="center"/>
    </xf>
    <xf numFmtId="165" fontId="11" fillId="0" borderId="1" xfId="11" applyNumberFormat="1" applyFont="1" applyBorder="1" applyAlignment="1">
      <alignment horizontal="center" vertical="center"/>
    </xf>
    <xf numFmtId="4" fontId="11" fillId="0" borderId="3" xfId="11" applyNumberFormat="1" applyFont="1" applyBorder="1" applyAlignment="1">
      <alignment horizontal="center" vertical="center"/>
    </xf>
    <xf numFmtId="0" fontId="11" fillId="0" borderId="1" xfId="11" applyFont="1" applyBorder="1" applyAlignment="1">
      <alignment vertical="center"/>
    </xf>
    <xf numFmtId="3" fontId="13" fillId="0" borderId="1" xfId="11" applyNumberFormat="1" applyFont="1" applyBorder="1" applyAlignment="1">
      <alignment horizontal="center" vertical="center"/>
    </xf>
    <xf numFmtId="165" fontId="13" fillId="0" borderId="1" xfId="11" applyNumberFormat="1" applyFont="1" applyBorder="1" applyAlignment="1">
      <alignment horizontal="center" vertical="center"/>
    </xf>
    <xf numFmtId="0" fontId="13" fillId="0" borderId="4" xfId="11" applyFont="1" applyBorder="1" applyAlignment="1">
      <alignment wrapText="1"/>
    </xf>
    <xf numFmtId="0" fontId="11" fillId="0" borderId="5" xfId="11" applyFont="1" applyBorder="1"/>
    <xf numFmtId="3" fontId="13" fillId="0" borderId="5" xfId="11" applyNumberFormat="1" applyFont="1" applyBorder="1" applyAlignment="1">
      <alignment horizontal="center"/>
    </xf>
    <xf numFmtId="4" fontId="13" fillId="0" borderId="5" xfId="11" applyNumberFormat="1" applyFont="1" applyBorder="1" applyAlignment="1">
      <alignment horizontal="center" vertical="center"/>
    </xf>
    <xf numFmtId="4" fontId="13" fillId="0" borderId="5" xfId="11" applyNumberFormat="1" applyFont="1" applyBorder="1" applyAlignment="1">
      <alignment horizontal="center"/>
    </xf>
    <xf numFmtId="4" fontId="13" fillId="0" borderId="6" xfId="11" applyNumberFormat="1" applyFont="1" applyBorder="1" applyAlignment="1">
      <alignment horizontal="center" vertical="center"/>
    </xf>
    <xf numFmtId="0" fontId="13" fillId="0" borderId="2" xfId="11" applyFont="1" applyBorder="1" applyAlignment="1">
      <alignment horizontal="center" vertical="center" wrapText="1"/>
    </xf>
    <xf numFmtId="0" fontId="13" fillId="0" borderId="1" xfId="11" applyFont="1" applyBorder="1" applyAlignment="1">
      <alignment horizontal="center" vertical="center" wrapText="1"/>
    </xf>
    <xf numFmtId="0" fontId="13" fillId="0" borderId="3" xfId="11" applyFont="1" applyBorder="1" applyAlignment="1">
      <alignment horizontal="center" vertical="center" wrapText="1"/>
    </xf>
    <xf numFmtId="4" fontId="13" fillId="0" borderId="1" xfId="11" applyNumberFormat="1" applyFont="1" applyBorder="1" applyAlignment="1">
      <alignment horizontal="center" vertical="center"/>
    </xf>
    <xf numFmtId="4" fontId="13" fillId="0" borderId="3" xfId="11" applyNumberFormat="1" applyFont="1" applyBorder="1" applyAlignment="1">
      <alignment horizontal="center" vertical="center"/>
    </xf>
    <xf numFmtId="166" fontId="11" fillId="0" borderId="1" xfId="11" applyNumberFormat="1" applyFont="1" applyBorder="1" applyAlignment="1">
      <alignment horizontal="center" vertical="center"/>
    </xf>
    <xf numFmtId="0" fontId="11" fillId="0" borderId="1" xfId="11" applyFont="1" applyBorder="1" applyAlignment="1">
      <alignment horizontal="center"/>
    </xf>
    <xf numFmtId="0" fontId="11" fillId="0" borderId="5" xfId="11" applyFont="1" applyBorder="1" applyAlignment="1">
      <alignment horizontal="center"/>
    </xf>
    <xf numFmtId="3" fontId="11" fillId="0" borderId="1" xfId="11" applyNumberFormat="1" applyFont="1" applyBorder="1" applyAlignment="1">
      <alignment horizontal="center"/>
    </xf>
    <xf numFmtId="0" fontId="13" fillId="0" borderId="0" xfId="11" applyFont="1"/>
    <xf numFmtId="4" fontId="13" fillId="0" borderId="0" xfId="11" applyNumberFormat="1" applyFont="1" applyAlignment="1">
      <alignment horizontal="center" vertical="center"/>
    </xf>
    <xf numFmtId="4" fontId="13" fillId="0" borderId="0" xfId="11" applyNumberFormat="1" applyFont="1" applyAlignment="1">
      <alignment horizontal="center"/>
    </xf>
    <xf numFmtId="4" fontId="11" fillId="0" borderId="1" xfId="11" applyNumberFormat="1" applyFont="1" applyBorder="1"/>
    <xf numFmtId="4" fontId="13" fillId="0" borderId="1" xfId="11" applyNumberFormat="1" applyFont="1" applyBorder="1"/>
    <xf numFmtId="4" fontId="11" fillId="0" borderId="1" xfId="11" applyNumberFormat="1" applyFont="1" applyBorder="1" applyAlignment="1">
      <alignment horizontal="center"/>
    </xf>
    <xf numFmtId="4" fontId="11" fillId="0" borderId="1" xfId="11" applyNumberFormat="1" applyFont="1" applyBorder="1" applyAlignment="1">
      <alignment horizontal="center" vertical="center" wrapText="1"/>
    </xf>
    <xf numFmtId="0" fontId="8" fillId="0" borderId="1" xfId="11" applyBorder="1"/>
    <xf numFmtId="4" fontId="8" fillId="0" borderId="1" xfId="11" applyNumberFormat="1" applyBorder="1"/>
    <xf numFmtId="4" fontId="9" fillId="0" borderId="1" xfId="11" applyNumberFormat="1" applyFont="1" applyBorder="1"/>
    <xf numFmtId="0" fontId="8" fillId="0" borderId="5" xfId="11" applyBorder="1"/>
    <xf numFmtId="4" fontId="8" fillId="0" borderId="5" xfId="11" applyNumberFormat="1" applyBorder="1"/>
    <xf numFmtId="4" fontId="9" fillId="0" borderId="5" xfId="11" applyNumberFormat="1" applyFont="1" applyBorder="1"/>
    <xf numFmtId="4" fontId="13" fillId="0" borderId="6" xfId="11" applyNumberFormat="1" applyFont="1" applyBorder="1" applyAlignment="1">
      <alignment horizontal="center"/>
    </xf>
    <xf numFmtId="4" fontId="8" fillId="0" borderId="0" xfId="11" applyNumberFormat="1"/>
    <xf numFmtId="0" fontId="13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3" fillId="0" borderId="1" xfId="11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2" fontId="0" fillId="0" borderId="0" xfId="0" applyNumberFormat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/>
    <xf numFmtId="0" fontId="3" fillId="3" borderId="2" xfId="0" applyFont="1" applyFill="1" applyBorder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6" fillId="0" borderId="3" xfId="0" applyFont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wrapText="1"/>
    </xf>
    <xf numFmtId="0" fontId="13" fillId="2" borderId="5" xfId="0" applyFont="1" applyFill="1" applyBorder="1" applyAlignment="1">
      <alignment horizontal="center" vertical="center" wrapText="1"/>
    </xf>
    <xf numFmtId="0" fontId="25" fillId="2" borderId="5" xfId="0" applyFont="1" applyFill="1" applyBorder="1"/>
    <xf numFmtId="4" fontId="1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25" fillId="0" borderId="1" xfId="0" applyFont="1" applyBorder="1"/>
    <xf numFmtId="0" fontId="25" fillId="0" borderId="3" xfId="0" applyFont="1" applyBorder="1"/>
    <xf numFmtId="0" fontId="25" fillId="0" borderId="5" xfId="0" applyFont="1" applyBorder="1"/>
    <xf numFmtId="0" fontId="25" fillId="0" borderId="6" xfId="0" applyFont="1" applyBorder="1"/>
    <xf numFmtId="0" fontId="5" fillId="3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9" fontId="4" fillId="3" borderId="1" xfId="0" applyNumberFormat="1" applyFont="1" applyFill="1" applyBorder="1" applyAlignment="1">
      <alignment horizontal="center" vertical="center"/>
    </xf>
    <xf numFmtId="170" fontId="0" fillId="0" borderId="0" xfId="0" applyNumberFormat="1"/>
    <xf numFmtId="169" fontId="1" fillId="2" borderId="1" xfId="0" applyNumberFormat="1" applyFont="1" applyFill="1" applyBorder="1" applyAlignment="1">
      <alignment horizontal="center" vertical="center" wrapText="1"/>
    </xf>
    <xf numFmtId="171" fontId="0" fillId="0" borderId="0" xfId="0" applyNumberFormat="1"/>
    <xf numFmtId="0" fontId="5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wrapText="1"/>
    </xf>
    <xf numFmtId="0" fontId="16" fillId="0" borderId="20" xfId="0" applyFont="1" applyBorder="1" applyAlignment="1">
      <alignment horizontal="left" wrapText="1"/>
    </xf>
    <xf numFmtId="0" fontId="16" fillId="0" borderId="2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3" xfId="5" applyFont="1" applyBorder="1" applyAlignment="1">
      <alignment horizontal="center" wrapText="1"/>
    </xf>
    <xf numFmtId="0" fontId="13" fillId="0" borderId="0" xfId="2" applyFont="1" applyAlignment="1">
      <alignment horizontal="center" vertical="center" wrapText="1"/>
    </xf>
    <xf numFmtId="0" fontId="18" fillId="0" borderId="13" xfId="2" applyFont="1" applyBorder="1" applyAlignment="1">
      <alignment horizontal="center" vertical="center" wrapText="1"/>
    </xf>
    <xf numFmtId="169" fontId="3" fillId="0" borderId="14" xfId="7" applyNumberFormat="1" applyFont="1" applyBorder="1" applyAlignment="1">
      <alignment horizontal="center" vertical="center" wrapText="1"/>
    </xf>
    <xf numFmtId="169" fontId="3" fillId="0" borderId="15" xfId="7" applyNumberFormat="1" applyFont="1" applyBorder="1" applyAlignment="1">
      <alignment horizontal="center" vertical="center" wrapText="1"/>
    </xf>
    <xf numFmtId="169" fontId="3" fillId="0" borderId="16" xfId="7" applyNumberFormat="1" applyFont="1" applyBorder="1" applyAlignment="1">
      <alignment horizontal="center" vertical="center" wrapText="1"/>
    </xf>
    <xf numFmtId="0" fontId="24" fillId="0" borderId="0" xfId="9" applyAlignment="1">
      <alignment horizontal="left"/>
    </xf>
    <xf numFmtId="0" fontId="12" fillId="0" borderId="7" xfId="11" applyFont="1" applyBorder="1" applyAlignment="1">
      <alignment horizontal="center"/>
    </xf>
    <xf numFmtId="0" fontId="12" fillId="0" borderId="8" xfId="11" applyFont="1" applyBorder="1" applyAlignment="1">
      <alignment horizontal="center"/>
    </xf>
    <xf numFmtId="0" fontId="12" fillId="0" borderId="9" xfId="11" applyFont="1" applyBorder="1" applyAlignment="1">
      <alignment horizontal="center"/>
    </xf>
    <xf numFmtId="0" fontId="12" fillId="0" borderId="0" xfId="11" applyFont="1" applyAlignment="1">
      <alignment horizontal="center" vertical="center" wrapText="1"/>
    </xf>
    <xf numFmtId="0" fontId="13" fillId="0" borderId="0" xfId="11" applyFont="1" applyAlignment="1">
      <alignment horizontal="center" vertical="center" wrapText="1"/>
    </xf>
    <xf numFmtId="0" fontId="12" fillId="0" borderId="17" xfId="11" applyFont="1" applyBorder="1" applyAlignment="1">
      <alignment horizontal="center"/>
    </xf>
    <xf numFmtId="0" fontId="12" fillId="0" borderId="18" xfId="11" applyFont="1" applyBorder="1" applyAlignment="1">
      <alignment horizontal="center"/>
    </xf>
    <xf numFmtId="0" fontId="12" fillId="0" borderId="19" xfId="11" applyFont="1" applyBorder="1" applyAlignment="1">
      <alignment horizontal="center"/>
    </xf>
  </cellXfs>
  <cellStyles count="12">
    <cellStyle name="Гиперссылка" xfId="1" builtinId="8"/>
    <cellStyle name="Гиперссылка 2" xfId="9" xr:uid="{BEC16511-252E-4098-B308-1B949E84B2B2}"/>
    <cellStyle name="Обычный" xfId="0" builtinId="0"/>
    <cellStyle name="Обычный 100" xfId="10" xr:uid="{5330851B-57D2-41A2-9742-3CE23F2A9C0A}"/>
    <cellStyle name="Обычный 2" xfId="5" xr:uid="{EDD3FCF0-96EC-4262-9218-53B08D763D90}"/>
    <cellStyle name="Обычный 2 2" xfId="3" xr:uid="{C4B7D3D1-8D36-477B-BCC6-23457A2A835A}"/>
    <cellStyle name="Обычный 2 2 2" xfId="7" xr:uid="{573DA84E-157A-42D2-97B4-585778F1D53A}"/>
    <cellStyle name="Обычный 2 2 2 2" xfId="8" xr:uid="{756C7C20-887B-48C4-A98D-A8BCF4DC1BE7}"/>
    <cellStyle name="Обычный 2 3" xfId="6" xr:uid="{6AB112A1-7F70-4F28-9574-A5C8DDCC7D5B}"/>
    <cellStyle name="Обычный 3" xfId="2" xr:uid="{F31DE24A-BA63-481D-A88A-D77CF0EBAB6D}"/>
    <cellStyle name="Обычный 3 2" xfId="11" xr:uid="{BA8D1D0A-0FC6-4750-B6D9-E77D1EA7AEC0}"/>
    <cellStyle name="Финансовый 2" xfId="4" xr:uid="{AC19DF9F-A761-4ADC-A1A1-696D23A943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conomy.gov.ru/material/directions/makroec/prognozy_socialno_ekonomicheskogo_razvitiya/prognoz_socialno_ekonomicheskogo_razvitiya_rf_na_2024_god_i_na_planovyy_period_2025_i_2026_godov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economy.gov.ru/material/directions/makroec/prognozy_socialno_ekonomicheskogo_razvitiya/prognoz_socialno_ekonomicheskogo_razvitiya_rf_na_2024_god_i_na_planovyy_period_2025_i_2026_godov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8CAFB-97E5-4317-83D4-39B8CDD32443}">
  <sheetPr>
    <pageSetUpPr fitToPage="1"/>
  </sheetPr>
  <dimension ref="A1:Q49"/>
  <sheetViews>
    <sheetView tabSelected="1" view="pageBreakPreview" topLeftCell="A25" zoomScale="75" zoomScaleNormal="100" zoomScaleSheetLayoutView="75" workbookViewId="0">
      <selection activeCell="N33" sqref="N33"/>
    </sheetView>
  </sheetViews>
  <sheetFormatPr defaultRowHeight="15" x14ac:dyDescent="0.25"/>
  <cols>
    <col min="1" max="1" width="8.7109375" customWidth="1"/>
    <col min="2" max="2" width="49.28515625" customWidth="1"/>
    <col min="3" max="3" width="27" customWidth="1"/>
    <col min="4" max="4" width="17.7109375" customWidth="1"/>
    <col min="5" max="5" width="20.85546875" customWidth="1"/>
    <col min="6" max="6" width="18.7109375" customWidth="1"/>
    <col min="7" max="8" width="19.85546875" customWidth="1"/>
    <col min="9" max="9" width="20" customWidth="1"/>
    <col min="10" max="10" width="18" customWidth="1"/>
    <col min="11" max="12" width="18.28515625" customWidth="1"/>
    <col min="13" max="13" width="21.28515625" customWidth="1"/>
    <col min="14" max="14" width="23.28515625" customWidth="1"/>
    <col min="15" max="15" width="12.5703125" customWidth="1"/>
    <col min="16" max="16" width="16.7109375" customWidth="1"/>
    <col min="17" max="17" width="11.5703125" bestFit="1" customWidth="1"/>
    <col min="18" max="18" width="9.140625" customWidth="1"/>
  </cols>
  <sheetData>
    <row r="1" spans="1:16" ht="15.75" x14ac:dyDescent="0.25">
      <c r="M1" s="152" t="s">
        <v>156</v>
      </c>
    </row>
    <row r="2" spans="1:16" ht="31.5" customHeight="1" thickBot="1" x14ac:dyDescent="0.3">
      <c r="A2" s="184" t="s">
        <v>145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</row>
    <row r="3" spans="1:16" ht="34.9" customHeight="1" x14ac:dyDescent="0.25">
      <c r="A3" s="190" t="s">
        <v>0</v>
      </c>
      <c r="B3" s="185" t="s">
        <v>1</v>
      </c>
      <c r="C3" s="185" t="s">
        <v>148</v>
      </c>
      <c r="D3" s="185" t="s">
        <v>8</v>
      </c>
      <c r="E3" s="189" t="s">
        <v>66</v>
      </c>
      <c r="F3" s="189"/>
      <c r="G3" s="189"/>
      <c r="H3" s="192" t="s">
        <v>209</v>
      </c>
      <c r="I3" s="189" t="s">
        <v>2</v>
      </c>
      <c r="J3" s="189"/>
      <c r="K3" s="189"/>
      <c r="L3" s="192" t="s">
        <v>210</v>
      </c>
      <c r="M3" s="185" t="s">
        <v>149</v>
      </c>
      <c r="N3" s="187" t="s">
        <v>146</v>
      </c>
    </row>
    <row r="4" spans="1:16" ht="15.75" x14ac:dyDescent="0.25">
      <c r="A4" s="191"/>
      <c r="B4" s="186"/>
      <c r="C4" s="186"/>
      <c r="D4" s="186"/>
      <c r="E4" s="1">
        <v>2025</v>
      </c>
      <c r="F4" s="1">
        <v>2026</v>
      </c>
      <c r="G4" s="1">
        <v>2027</v>
      </c>
      <c r="H4" s="193"/>
      <c r="I4" s="1">
        <v>2025</v>
      </c>
      <c r="J4" s="1">
        <v>2026</v>
      </c>
      <c r="K4" s="1">
        <v>2027</v>
      </c>
      <c r="L4" s="193"/>
      <c r="M4" s="186"/>
      <c r="N4" s="188"/>
      <c r="P4" s="156"/>
    </row>
    <row r="5" spans="1:16" ht="37.5" x14ac:dyDescent="0.3">
      <c r="A5" s="159" t="s">
        <v>13</v>
      </c>
      <c r="B5" s="6" t="s">
        <v>184</v>
      </c>
      <c r="C5" s="153"/>
      <c r="D5" s="9">
        <f>D6+D8+D11+D12+D14+D15+D17+D19+D21+D22+D24</f>
        <v>11624.75562</v>
      </c>
      <c r="E5" s="9">
        <f>E6+E8+E11+E12+E14+E15+E17+E19+E21+E22+E24</f>
        <v>5598.1055617600005</v>
      </c>
      <c r="F5" s="9">
        <f>F6+F8+F11+F12+F14+F15+F17+F19+F21+F22+F24</f>
        <v>2085.9015909886398</v>
      </c>
      <c r="G5" s="9">
        <f>G6+G8+G11+G12+G14+G15+G17+G19+G21+G22+G24</f>
        <v>5022.5050799999999</v>
      </c>
      <c r="H5" s="9">
        <f>H6+H8+H11+H12+H14+H15+H17+H19+H21+H22+H24</f>
        <v>12706.512232748637</v>
      </c>
      <c r="I5" s="9">
        <f t="shared" ref="I5:K5" si="0">I6+I8+I11+I12+I14+I15+I17+I19+I21+I22+I24</f>
        <v>6717.7266799999998</v>
      </c>
      <c r="J5" s="9">
        <f t="shared" si="0"/>
        <v>2503.0819099999999</v>
      </c>
      <c r="K5" s="9">
        <f t="shared" si="0"/>
        <v>6027.0061000000005</v>
      </c>
      <c r="L5" s="9">
        <f>L6+L8+L11+L12+L14+L15+L17+L19+L21+L22+L24</f>
        <v>15247.814689999999</v>
      </c>
      <c r="M5" s="18"/>
      <c r="N5" s="160"/>
    </row>
    <row r="6" spans="1:16" ht="78.75" x14ac:dyDescent="0.25">
      <c r="A6" s="161">
        <v>1</v>
      </c>
      <c r="B6" s="10" t="s">
        <v>137</v>
      </c>
      <c r="C6" s="177" t="s">
        <v>160</v>
      </c>
      <c r="D6" s="11">
        <f>D7</f>
        <v>377.68824999999998</v>
      </c>
      <c r="E6" s="11">
        <f>E7</f>
        <v>395.81728599999997</v>
      </c>
      <c r="F6" s="11">
        <f t="shared" ref="F6:K6" si="1">F7</f>
        <v>0</v>
      </c>
      <c r="G6" s="11">
        <f t="shared" si="1"/>
        <v>0</v>
      </c>
      <c r="H6" s="11">
        <f>G6+F6+E6</f>
        <v>395.81728599999997</v>
      </c>
      <c r="I6" s="11">
        <f t="shared" si="1"/>
        <v>474.98074000000003</v>
      </c>
      <c r="J6" s="11">
        <f t="shared" si="1"/>
        <v>0</v>
      </c>
      <c r="K6" s="11">
        <f t="shared" si="1"/>
        <v>0</v>
      </c>
      <c r="L6" s="11">
        <f>K6+J6+I6</f>
        <v>474.98074000000003</v>
      </c>
      <c r="M6" s="158" t="s">
        <v>194</v>
      </c>
      <c r="N6" s="164" t="s">
        <v>9</v>
      </c>
    </row>
    <row r="7" spans="1:16" ht="15.75" x14ac:dyDescent="0.25">
      <c r="A7" s="163"/>
      <c r="B7" s="8" t="s">
        <v>10</v>
      </c>
      <c r="C7" s="178"/>
      <c r="D7" s="4">
        <f>377688.25/1000</f>
        <v>377.68824999999998</v>
      </c>
      <c r="E7" s="5">
        <f>D7*C39/100</f>
        <v>395.81728599999997</v>
      </c>
      <c r="F7" s="5"/>
      <c r="G7" s="5"/>
      <c r="H7" s="5">
        <f t="shared" ref="H7:H35" si="2">G7+F7+E7</f>
        <v>395.81728599999997</v>
      </c>
      <c r="I7" s="5">
        <f>ROUND(E7*1.2,5)</f>
        <v>474.98074000000003</v>
      </c>
      <c r="J7" s="16"/>
      <c r="K7" s="16"/>
      <c r="L7" s="5">
        <f t="shared" ref="L7:L35" si="3">K7+J7+I7</f>
        <v>474.98074000000003</v>
      </c>
      <c r="M7" s="158"/>
      <c r="N7" s="164"/>
    </row>
    <row r="8" spans="1:16" ht="47.25" x14ac:dyDescent="0.25">
      <c r="A8" s="161">
        <v>2</v>
      </c>
      <c r="B8" s="10" t="s">
        <v>136</v>
      </c>
      <c r="C8" s="177" t="s">
        <v>161</v>
      </c>
      <c r="D8" s="11">
        <f>D9+D10</f>
        <v>1578.0856100000001</v>
      </c>
      <c r="E8" s="11">
        <f t="shared" ref="E8:F8" si="4">E9+E10</f>
        <v>752.36658</v>
      </c>
      <c r="F8" s="11">
        <f t="shared" si="4"/>
        <v>0</v>
      </c>
      <c r="G8" s="11">
        <f>G9+G10</f>
        <v>986.30962</v>
      </c>
      <c r="H8" s="11">
        <f t="shared" si="2"/>
        <v>1738.6761999999999</v>
      </c>
      <c r="I8" s="11">
        <f t="shared" ref="I8:J8" si="5">I9+I10</f>
        <v>902.83989999999994</v>
      </c>
      <c r="J8" s="11">
        <f t="shared" si="5"/>
        <v>0</v>
      </c>
      <c r="K8" s="11">
        <f>K9+K10</f>
        <v>1183.5715399999999</v>
      </c>
      <c r="L8" s="11">
        <f t="shared" si="3"/>
        <v>2086.4114399999999</v>
      </c>
      <c r="M8" s="158"/>
      <c r="N8" s="164" t="s">
        <v>9</v>
      </c>
    </row>
    <row r="9" spans="1:16" ht="78.75" x14ac:dyDescent="0.25">
      <c r="A9" s="163"/>
      <c r="B9" s="8" t="s">
        <v>142</v>
      </c>
      <c r="C9" s="178"/>
      <c r="D9" s="4">
        <f>860178.57/1000</f>
        <v>860.17856999999992</v>
      </c>
      <c r="E9" s="5"/>
      <c r="F9" s="5"/>
      <c r="G9" s="5">
        <f>ROUND(D9*C39/100*D39/100*E39/100,5)</f>
        <v>986.30962</v>
      </c>
      <c r="H9" s="5">
        <f t="shared" si="2"/>
        <v>986.30962</v>
      </c>
      <c r="I9" s="16"/>
      <c r="J9" s="16"/>
      <c r="K9" s="5">
        <f>ROUND(G9*1.2,5)</f>
        <v>1183.5715399999999</v>
      </c>
      <c r="L9" s="5">
        <f t="shared" si="3"/>
        <v>1183.5715399999999</v>
      </c>
      <c r="M9" s="158" t="s">
        <v>195</v>
      </c>
      <c r="N9" s="164"/>
    </row>
    <row r="10" spans="1:16" ht="78.75" x14ac:dyDescent="0.25">
      <c r="A10" s="163"/>
      <c r="B10" s="8" t="s">
        <v>12</v>
      </c>
      <c r="C10" s="178"/>
      <c r="D10" s="4">
        <f>717907.04/1000</f>
        <v>717.90704000000005</v>
      </c>
      <c r="E10" s="5">
        <f>ROUND(D10*C39/100,5)</f>
        <v>752.36658</v>
      </c>
      <c r="F10" s="5"/>
      <c r="G10" s="5"/>
      <c r="H10" s="5">
        <f t="shared" si="2"/>
        <v>752.36658</v>
      </c>
      <c r="I10" s="5">
        <f>ROUND(E10*1.2,5)</f>
        <v>902.83989999999994</v>
      </c>
      <c r="J10" s="16"/>
      <c r="K10" s="16"/>
      <c r="L10" s="5">
        <f t="shared" si="3"/>
        <v>902.83989999999994</v>
      </c>
      <c r="M10" s="158" t="s">
        <v>196</v>
      </c>
      <c r="N10" s="164"/>
    </row>
    <row r="11" spans="1:16" ht="78.75" x14ac:dyDescent="0.25">
      <c r="A11" s="161">
        <v>3</v>
      </c>
      <c r="B11" s="10" t="s">
        <v>14</v>
      </c>
      <c r="C11" s="177" t="s">
        <v>162</v>
      </c>
      <c r="D11" s="11">
        <f>740529.85/1000</f>
        <v>740.52985000000001</v>
      </c>
      <c r="E11" s="11">
        <f>ROUND(D11*C39/100,5)</f>
        <v>776.07528000000002</v>
      </c>
      <c r="F11" s="11"/>
      <c r="G11" s="11"/>
      <c r="H11" s="11">
        <f t="shared" si="2"/>
        <v>776.07528000000002</v>
      </c>
      <c r="I11" s="11">
        <f>ROUND(E11*1.2,5)</f>
        <v>931.29034000000001</v>
      </c>
      <c r="J11" s="11"/>
      <c r="K11" s="11"/>
      <c r="L11" s="11">
        <f t="shared" si="3"/>
        <v>931.29034000000001</v>
      </c>
      <c r="M11" s="158" t="s">
        <v>197</v>
      </c>
      <c r="N11" s="164"/>
    </row>
    <row r="12" spans="1:16" ht="78.75" x14ac:dyDescent="0.25">
      <c r="A12" s="161">
        <v>4</v>
      </c>
      <c r="B12" s="10" t="s">
        <v>139</v>
      </c>
      <c r="C12" s="177" t="s">
        <v>163</v>
      </c>
      <c r="D12" s="11">
        <f>2461618.13/1000</f>
        <v>2461.6181299999998</v>
      </c>
      <c r="E12" s="11"/>
      <c r="F12" s="11"/>
      <c r="G12" s="11">
        <f>G13</f>
        <v>2822.5739800000001</v>
      </c>
      <c r="H12" s="11">
        <f t="shared" si="2"/>
        <v>2822.5739800000001</v>
      </c>
      <c r="I12" s="11"/>
      <c r="J12" s="11"/>
      <c r="K12" s="11">
        <f>K13</f>
        <v>3387.08878</v>
      </c>
      <c r="L12" s="11">
        <f t="shared" si="3"/>
        <v>3387.08878</v>
      </c>
      <c r="M12" s="158" t="s">
        <v>198</v>
      </c>
      <c r="N12" s="164" t="s">
        <v>9</v>
      </c>
    </row>
    <row r="13" spans="1:16" ht="15.75" x14ac:dyDescent="0.25">
      <c r="A13" s="163"/>
      <c r="B13" s="8" t="s">
        <v>138</v>
      </c>
      <c r="C13" s="179"/>
      <c r="D13" s="4">
        <f>2461618.13/1000</f>
        <v>2461.6181299999998</v>
      </c>
      <c r="E13" s="5"/>
      <c r="F13" s="5"/>
      <c r="G13" s="5">
        <f>ROUND(D13*C39/100*D39/100*E39/100,5)</f>
        <v>2822.5739800000001</v>
      </c>
      <c r="H13" s="5">
        <f t="shared" si="2"/>
        <v>2822.5739800000001</v>
      </c>
      <c r="I13" s="16"/>
      <c r="J13" s="16"/>
      <c r="K13" s="5">
        <f>ROUND(G13*1.2,5)</f>
        <v>3387.08878</v>
      </c>
      <c r="L13" s="5">
        <f t="shared" si="3"/>
        <v>3387.08878</v>
      </c>
      <c r="M13" s="158"/>
      <c r="N13" s="164"/>
    </row>
    <row r="14" spans="1:16" ht="78.75" x14ac:dyDescent="0.25">
      <c r="A14" s="161">
        <v>5</v>
      </c>
      <c r="B14" s="10" t="s">
        <v>15</v>
      </c>
      <c r="C14" s="177" t="s">
        <v>164</v>
      </c>
      <c r="D14" s="13">
        <f>620687.05/1000</f>
        <v>620.68705</v>
      </c>
      <c r="E14" s="11"/>
      <c r="F14" s="11">
        <f>ROUND(D14*C39/100*D39/100,5)</f>
        <v>680.40210999999999</v>
      </c>
      <c r="G14" s="11"/>
      <c r="H14" s="11">
        <f t="shared" si="2"/>
        <v>680.40210999999999</v>
      </c>
      <c r="I14" s="11"/>
      <c r="J14" s="11">
        <f>ROUND(F14*1.2,5)</f>
        <v>816.48253</v>
      </c>
      <c r="K14" s="11"/>
      <c r="L14" s="11">
        <f t="shared" si="3"/>
        <v>816.48253</v>
      </c>
      <c r="M14" s="158" t="s">
        <v>213</v>
      </c>
      <c r="N14" s="164"/>
    </row>
    <row r="15" spans="1:16" ht="78.75" x14ac:dyDescent="0.25">
      <c r="A15" s="161">
        <v>6</v>
      </c>
      <c r="B15" s="10" t="s">
        <v>140</v>
      </c>
      <c r="C15" s="177" t="s">
        <v>165</v>
      </c>
      <c r="D15" s="11">
        <f>667649.62/1000</f>
        <v>667.64962000000003</v>
      </c>
      <c r="E15" s="11">
        <f>ROUND(667649.62/1000*C39/100,5)</f>
        <v>699.69680000000005</v>
      </c>
      <c r="F15" s="155"/>
      <c r="G15" s="155"/>
      <c r="H15" s="11">
        <f t="shared" si="2"/>
        <v>699.69680000000005</v>
      </c>
      <c r="I15" s="11">
        <f>I16</f>
        <v>839.63616000000002</v>
      </c>
      <c r="J15" s="11"/>
      <c r="K15" s="11"/>
      <c r="L15" s="11">
        <f t="shared" si="3"/>
        <v>839.63616000000002</v>
      </c>
      <c r="M15" s="158" t="s">
        <v>199</v>
      </c>
      <c r="N15" s="164"/>
    </row>
    <row r="16" spans="1:16" ht="15.75" x14ac:dyDescent="0.25">
      <c r="A16" s="163"/>
      <c r="B16" s="8" t="s">
        <v>11</v>
      </c>
      <c r="C16" s="178"/>
      <c r="D16" s="5">
        <f>667649.62/1000</f>
        <v>667.64962000000003</v>
      </c>
      <c r="E16" s="5">
        <f>E15</f>
        <v>699.69680000000005</v>
      </c>
      <c r="F16" s="16"/>
      <c r="G16" s="16"/>
      <c r="H16" s="5">
        <f t="shared" si="2"/>
        <v>699.69680000000005</v>
      </c>
      <c r="I16" s="5">
        <f>ROUND(E16*1.2,5)</f>
        <v>839.63616000000002</v>
      </c>
      <c r="J16" s="16"/>
      <c r="K16" s="16"/>
      <c r="L16" s="5">
        <f t="shared" si="3"/>
        <v>839.63616000000002</v>
      </c>
      <c r="M16" s="158"/>
      <c r="N16" s="164"/>
    </row>
    <row r="17" spans="1:17" ht="78.75" x14ac:dyDescent="0.25">
      <c r="A17" s="161">
        <v>7</v>
      </c>
      <c r="B17" s="10" t="s">
        <v>176</v>
      </c>
      <c r="C17" s="177" t="s">
        <v>166</v>
      </c>
      <c r="D17" s="11">
        <f>1000657.65/1000</f>
        <v>1000.65765</v>
      </c>
      <c r="E17" s="11">
        <f>ROUND(D17*C39/100,5)</f>
        <v>1048.68922</v>
      </c>
      <c r="F17" s="155"/>
      <c r="G17" s="155"/>
      <c r="H17" s="11">
        <f t="shared" si="2"/>
        <v>1048.68922</v>
      </c>
      <c r="I17" s="11">
        <f>ROUND(E17*1.2,5)</f>
        <v>1258.42706</v>
      </c>
      <c r="J17" s="11"/>
      <c r="K17" s="11"/>
      <c r="L17" s="11">
        <f t="shared" si="3"/>
        <v>1258.42706</v>
      </c>
      <c r="M17" s="158" t="s">
        <v>200</v>
      </c>
      <c r="N17" s="164" t="s">
        <v>175</v>
      </c>
    </row>
    <row r="18" spans="1:17" ht="31.5" x14ac:dyDescent="0.25">
      <c r="A18" s="161"/>
      <c r="B18" s="8" t="s">
        <v>174</v>
      </c>
      <c r="C18" s="179"/>
      <c r="D18" s="4"/>
      <c r="E18" s="5">
        <f>E17</f>
        <v>1048.68922</v>
      </c>
      <c r="F18" s="5"/>
      <c r="G18" s="5"/>
      <c r="H18" s="5">
        <f t="shared" si="2"/>
        <v>1048.68922</v>
      </c>
      <c r="I18" s="5">
        <f>I17</f>
        <v>1258.42706</v>
      </c>
      <c r="J18" s="16"/>
      <c r="K18" s="16"/>
      <c r="L18" s="5">
        <f t="shared" si="3"/>
        <v>1258.42706</v>
      </c>
      <c r="M18" s="158"/>
      <c r="N18" s="164"/>
    </row>
    <row r="19" spans="1:17" ht="78.75" x14ac:dyDescent="0.25">
      <c r="A19" s="161">
        <v>8</v>
      </c>
      <c r="B19" s="10" t="s">
        <v>141</v>
      </c>
      <c r="C19" s="177" t="s">
        <v>167</v>
      </c>
      <c r="D19" s="11">
        <f>D20</f>
        <v>776.34282999999994</v>
      </c>
      <c r="E19" s="11">
        <v>0</v>
      </c>
      <c r="F19" s="11">
        <f>F20</f>
        <v>851.03322098863975</v>
      </c>
      <c r="G19" s="155"/>
      <c r="H19" s="11">
        <f t="shared" si="2"/>
        <v>851.03322098863975</v>
      </c>
      <c r="I19" s="11"/>
      <c r="J19" s="11">
        <f>J20</f>
        <v>1021.23987</v>
      </c>
      <c r="K19" s="11"/>
      <c r="L19" s="11">
        <f t="shared" si="3"/>
        <v>1021.23987</v>
      </c>
      <c r="M19" s="158" t="s">
        <v>201</v>
      </c>
      <c r="N19" s="164" t="s">
        <v>214</v>
      </c>
    </row>
    <row r="20" spans="1:17" ht="15.75" x14ac:dyDescent="0.25">
      <c r="A20" s="161"/>
      <c r="B20" s="8" t="s">
        <v>10</v>
      </c>
      <c r="C20" s="179"/>
      <c r="D20" s="4">
        <v>776.34282999999994</v>
      </c>
      <c r="E20" s="5"/>
      <c r="F20" s="5">
        <f>D20*C39/100*D39/100</f>
        <v>851.03322098863975</v>
      </c>
      <c r="G20" s="151"/>
      <c r="H20" s="5">
        <f t="shared" si="2"/>
        <v>851.03322098863975</v>
      </c>
      <c r="I20" s="16"/>
      <c r="J20" s="5">
        <f>ROUND(F20*1.2,5)</f>
        <v>1021.23987</v>
      </c>
      <c r="K20" s="16"/>
      <c r="L20" s="5">
        <f t="shared" si="3"/>
        <v>1021.23987</v>
      </c>
      <c r="M20" s="158"/>
      <c r="N20" s="164"/>
    </row>
    <row r="21" spans="1:17" ht="78.75" x14ac:dyDescent="0.25">
      <c r="A21" s="161">
        <v>9</v>
      </c>
      <c r="B21" s="10" t="s">
        <v>183</v>
      </c>
      <c r="C21" s="177" t="s">
        <v>168</v>
      </c>
      <c r="D21" s="11">
        <f>505803.88/1000</f>
        <v>505.80387999999999</v>
      </c>
      <c r="E21" s="11"/>
      <c r="F21" s="11">
        <f>ROUND(D21*C39/100*D39/100,5)</f>
        <v>554.46626000000003</v>
      </c>
      <c r="G21" s="155"/>
      <c r="H21" s="11">
        <f t="shared" si="2"/>
        <v>554.46626000000003</v>
      </c>
      <c r="I21" s="11"/>
      <c r="J21" s="11">
        <f>ROUND(F21*1.2,5)</f>
        <v>665.35951</v>
      </c>
      <c r="K21" s="11"/>
      <c r="L21" s="11">
        <f t="shared" si="3"/>
        <v>665.35951</v>
      </c>
      <c r="M21" s="158" t="s">
        <v>202</v>
      </c>
      <c r="N21" s="164"/>
    </row>
    <row r="22" spans="1:17" ht="78.75" x14ac:dyDescent="0.25">
      <c r="A22" s="161">
        <v>10</v>
      </c>
      <c r="B22" s="10" t="s">
        <v>144</v>
      </c>
      <c r="C22" s="177" t="s">
        <v>169</v>
      </c>
      <c r="D22" s="11">
        <f>1837271.37/1000</f>
        <v>1837.2713700000002</v>
      </c>
      <c r="E22" s="11">
        <f>D22*C39/100</f>
        <v>1925.4603957600002</v>
      </c>
      <c r="F22" s="155"/>
      <c r="G22" s="155"/>
      <c r="H22" s="11">
        <f t="shared" si="2"/>
        <v>1925.4603957600002</v>
      </c>
      <c r="I22" s="11">
        <f>I23</f>
        <v>2310.5524799999998</v>
      </c>
      <c r="J22" s="11"/>
      <c r="K22" s="11"/>
      <c r="L22" s="11">
        <f t="shared" si="3"/>
        <v>2310.5524799999998</v>
      </c>
      <c r="M22" s="158" t="s">
        <v>203</v>
      </c>
      <c r="N22" s="164" t="s">
        <v>9</v>
      </c>
    </row>
    <row r="23" spans="1:17" ht="15.75" x14ac:dyDescent="0.25">
      <c r="A23" s="161"/>
      <c r="B23" s="8" t="s">
        <v>142</v>
      </c>
      <c r="C23" s="179"/>
      <c r="D23" s="4">
        <v>1837.2713700000002</v>
      </c>
      <c r="E23" s="5">
        <f>ROUND(D23*C39/100,5)</f>
        <v>1925.4603999999999</v>
      </c>
      <c r="F23" s="5"/>
      <c r="G23" s="5"/>
      <c r="H23" s="5">
        <f t="shared" si="2"/>
        <v>1925.4603999999999</v>
      </c>
      <c r="I23" s="5">
        <f>ROUND(E23*1.2,5)</f>
        <v>2310.5524799999998</v>
      </c>
      <c r="J23" s="16"/>
      <c r="K23" s="16"/>
      <c r="L23" s="5">
        <f t="shared" si="3"/>
        <v>2310.5524799999998</v>
      </c>
      <c r="M23" s="158"/>
      <c r="N23" s="164"/>
    </row>
    <row r="24" spans="1:17" ht="78.75" x14ac:dyDescent="0.25">
      <c r="A24" s="161">
        <v>11</v>
      </c>
      <c r="B24" s="10" t="s">
        <v>143</v>
      </c>
      <c r="C24" s="177" t="s">
        <v>170</v>
      </c>
      <c r="D24" s="11">
        <f>1058421.38/1000</f>
        <v>1058.42138</v>
      </c>
      <c r="E24" s="11"/>
      <c r="F24" s="11"/>
      <c r="G24" s="11">
        <f>G25</f>
        <v>1213.62148</v>
      </c>
      <c r="H24" s="11">
        <f t="shared" si="2"/>
        <v>1213.62148</v>
      </c>
      <c r="I24" s="11"/>
      <c r="J24" s="11"/>
      <c r="K24" s="11">
        <f>K25</f>
        <v>1456.3457800000001</v>
      </c>
      <c r="L24" s="11">
        <f t="shared" si="3"/>
        <v>1456.3457800000001</v>
      </c>
      <c r="M24" s="158" t="s">
        <v>204</v>
      </c>
      <c r="N24" s="164" t="s">
        <v>9</v>
      </c>
    </row>
    <row r="25" spans="1:17" ht="15.75" x14ac:dyDescent="0.25">
      <c r="A25" s="161"/>
      <c r="B25" s="8" t="s">
        <v>142</v>
      </c>
      <c r="C25" s="179"/>
      <c r="D25" s="4">
        <v>1058.42138</v>
      </c>
      <c r="E25" s="5"/>
      <c r="F25" s="5"/>
      <c r="G25" s="5">
        <f>ROUND(D25*C39/100*D39/100*E39/100,5)</f>
        <v>1213.62148</v>
      </c>
      <c r="H25" s="5">
        <f t="shared" si="2"/>
        <v>1213.62148</v>
      </c>
      <c r="I25" s="16"/>
      <c r="J25" s="16"/>
      <c r="K25" s="5">
        <f>ROUND(G25*1.2,5)</f>
        <v>1456.3457800000001</v>
      </c>
      <c r="L25" s="5">
        <f t="shared" si="3"/>
        <v>1456.3457800000001</v>
      </c>
      <c r="M25" s="157"/>
      <c r="N25" s="162"/>
    </row>
    <row r="26" spans="1:17" ht="18.75" x14ac:dyDescent="0.3">
      <c r="A26" s="159" t="s">
        <v>16</v>
      </c>
      <c r="B26" s="6" t="s">
        <v>17</v>
      </c>
      <c r="C26" s="153"/>
      <c r="D26" s="9"/>
      <c r="E26" s="9">
        <f>E27</f>
        <v>5220.9264000000003</v>
      </c>
      <c r="F26" s="9">
        <f t="shared" ref="F26" si="6">F27</f>
        <v>5461.0890099999997</v>
      </c>
      <c r="G26" s="9">
        <f>G27</f>
        <v>5712.2991099999999</v>
      </c>
      <c r="H26" s="9">
        <f t="shared" si="2"/>
        <v>16394.31452</v>
      </c>
      <c r="I26" s="9">
        <f t="shared" ref="I26:K26" si="7">I27</f>
        <v>6265.11168</v>
      </c>
      <c r="J26" s="9">
        <f t="shared" si="7"/>
        <v>6553.30681</v>
      </c>
      <c r="K26" s="9">
        <f t="shared" si="7"/>
        <v>6854.75893</v>
      </c>
      <c r="L26" s="9">
        <f t="shared" si="3"/>
        <v>19673.17742</v>
      </c>
      <c r="M26" s="157"/>
      <c r="N26" s="162"/>
    </row>
    <row r="27" spans="1:17" ht="78.75" x14ac:dyDescent="0.25">
      <c r="A27" s="161" t="s">
        <v>18</v>
      </c>
      <c r="B27" s="10" t="s">
        <v>67</v>
      </c>
      <c r="C27" s="177" t="s">
        <v>171</v>
      </c>
      <c r="D27" s="11"/>
      <c r="E27" s="12">
        <f>ROUND(996.36/1.2*6*C39/100,5)</f>
        <v>5220.9264000000003</v>
      </c>
      <c r="F27" s="12">
        <f>ROUND(996.36/1.2*6*C39/100*D39/100,5)</f>
        <v>5461.0890099999997</v>
      </c>
      <c r="G27" s="12">
        <f>ROUND(996.36/1.2*6*C39/100*D39/100*E39/100,5)</f>
        <v>5712.2991099999999</v>
      </c>
      <c r="H27" s="12">
        <f t="shared" si="2"/>
        <v>16394.31452</v>
      </c>
      <c r="I27" s="180">
        <f>ROUND(E27*1.2,5)</f>
        <v>6265.11168</v>
      </c>
      <c r="J27" s="12">
        <f>ROUND(F27*1.2,5)</f>
        <v>6553.30681</v>
      </c>
      <c r="K27" s="180">
        <f>ROUND(G27*1.2,5)</f>
        <v>6854.75893</v>
      </c>
      <c r="L27" s="180">
        <f>K27+J27+I27</f>
        <v>19673.17742</v>
      </c>
      <c r="M27" s="157" t="s">
        <v>205</v>
      </c>
      <c r="N27" s="162"/>
      <c r="Q27" s="181"/>
    </row>
    <row r="28" spans="1:17" ht="56.25" x14ac:dyDescent="0.3">
      <c r="A28" s="159" t="s">
        <v>19</v>
      </c>
      <c r="B28" s="6" t="s">
        <v>186</v>
      </c>
      <c r="C28" s="153"/>
      <c r="D28" s="9"/>
      <c r="E28" s="9">
        <f>E29+E30+E31+E32</f>
        <v>5056.6000000000004</v>
      </c>
      <c r="F28" s="9">
        <f>F29+F30+F31+F32</f>
        <v>8777.4909299999999</v>
      </c>
      <c r="G28" s="9">
        <f>G29+G30+G31+G32</f>
        <v>5678.1294300000009</v>
      </c>
      <c r="H28" s="9">
        <f t="shared" si="2"/>
        <v>19512.220359999999</v>
      </c>
      <c r="I28" s="9">
        <f t="shared" ref="I28:K28" si="8">I29+I30+I31+I32</f>
        <v>6067.92</v>
      </c>
      <c r="J28" s="9">
        <f t="shared" si="8"/>
        <v>10364.70146</v>
      </c>
      <c r="K28" s="9">
        <f t="shared" si="8"/>
        <v>6813.7553199999993</v>
      </c>
      <c r="L28" s="9">
        <f t="shared" si="3"/>
        <v>23246.376779999999</v>
      </c>
      <c r="M28" s="16"/>
      <c r="N28" s="160"/>
    </row>
    <row r="29" spans="1:17" ht="90" x14ac:dyDescent="0.25">
      <c r="A29" s="161" t="s">
        <v>23</v>
      </c>
      <c r="B29" s="10" t="s">
        <v>189</v>
      </c>
      <c r="C29" s="177" t="s">
        <v>172</v>
      </c>
      <c r="D29" s="11"/>
      <c r="E29" s="12"/>
      <c r="F29" s="12"/>
      <c r="G29" s="12">
        <f>ROUND((((2.818+11.241+49.035)/1.2*60)*C39/100*D39/100*E39/100),5)</f>
        <v>3617.2849200000001</v>
      </c>
      <c r="H29" s="12">
        <f t="shared" si="2"/>
        <v>3617.2849200000001</v>
      </c>
      <c r="I29" s="12">
        <f>ROUND(E29*1.2,5)</f>
        <v>0</v>
      </c>
      <c r="J29" s="12">
        <f t="shared" ref="J29" si="9">ROUND(F29*1.2,5)</f>
        <v>0</v>
      </c>
      <c r="K29" s="12">
        <f t="shared" ref="K29" si="10">ROUND(G29*1.2,5)</f>
        <v>4340.7419</v>
      </c>
      <c r="L29" s="12">
        <f t="shared" si="3"/>
        <v>4340.7419</v>
      </c>
      <c r="M29" s="157" t="s">
        <v>206</v>
      </c>
      <c r="N29" s="164" t="s">
        <v>9</v>
      </c>
    </row>
    <row r="30" spans="1:17" ht="157.5" x14ac:dyDescent="0.25">
      <c r="A30" s="161" t="s">
        <v>24</v>
      </c>
      <c r="B30" s="10" t="s">
        <v>20</v>
      </c>
      <c r="C30" s="177" t="s">
        <v>190</v>
      </c>
      <c r="D30" s="11"/>
      <c r="E30" s="12">
        <f>ROUND(5790000/1000/1.2*C39/100,5)</f>
        <v>5056.6000000000004</v>
      </c>
      <c r="F30" s="12">
        <f>ROUND(8687.46/1.2*C39/100*D39/100,5)</f>
        <v>7936.0526300000001</v>
      </c>
      <c r="G30" s="12">
        <f>ROUND(1676760/1000/1.2*C39/100*D39/100*E39/100,5)</f>
        <v>1602.1910800000001</v>
      </c>
      <c r="H30" s="12">
        <f t="shared" si="2"/>
        <v>14594.843710000001</v>
      </c>
      <c r="I30" s="12">
        <f t="shared" ref="I30:I32" si="11">ROUND(E30*1.2,5)</f>
        <v>6067.92</v>
      </c>
      <c r="J30" s="12">
        <f t="shared" ref="J30:J31" si="12">ROUND(F30*1.2,5)</f>
        <v>9523.2631600000004</v>
      </c>
      <c r="K30" s="12">
        <f t="shared" ref="K30:K32" si="13">ROUND(G30*1.2,5)</f>
        <v>1922.6293000000001</v>
      </c>
      <c r="L30" s="12">
        <f t="shared" si="3"/>
        <v>17513.812460000001</v>
      </c>
      <c r="M30" s="157" t="s">
        <v>208</v>
      </c>
      <c r="N30" s="164" t="s">
        <v>207</v>
      </c>
    </row>
    <row r="31" spans="1:17" ht="90" x14ac:dyDescent="0.25">
      <c r="A31" s="161" t="s">
        <v>25</v>
      </c>
      <c r="B31" s="10" t="s">
        <v>193</v>
      </c>
      <c r="C31" s="177" t="s">
        <v>191</v>
      </c>
      <c r="D31" s="11"/>
      <c r="E31" s="12"/>
      <c r="F31" s="12"/>
      <c r="G31" s="12">
        <f>ROUND(160/1.2*3*C39/100*D39/100*E39/100,5)</f>
        <v>458.65343000000001</v>
      </c>
      <c r="H31" s="12">
        <f t="shared" si="2"/>
        <v>458.65343000000001</v>
      </c>
      <c r="I31" s="12">
        <f t="shared" si="11"/>
        <v>0</v>
      </c>
      <c r="J31" s="12">
        <f t="shared" si="12"/>
        <v>0</v>
      </c>
      <c r="K31" s="12">
        <f t="shared" si="13"/>
        <v>550.38412000000005</v>
      </c>
      <c r="L31" s="12">
        <f t="shared" si="3"/>
        <v>550.38412000000005</v>
      </c>
      <c r="M31" s="157" t="s">
        <v>206</v>
      </c>
      <c r="N31" s="160"/>
    </row>
    <row r="32" spans="1:17" ht="56.25" x14ac:dyDescent="0.25">
      <c r="A32" s="161" t="s">
        <v>188</v>
      </c>
      <c r="B32" s="10" t="s">
        <v>187</v>
      </c>
      <c r="C32" s="177" t="s">
        <v>192</v>
      </c>
      <c r="D32" s="11"/>
      <c r="E32" s="12"/>
      <c r="F32" s="12">
        <f>ROUND(767.59*C39/100*D39/100,5)</f>
        <v>841.43830000000003</v>
      </c>
      <c r="G32" s="12"/>
      <c r="H32" s="12">
        <f t="shared" si="2"/>
        <v>841.43830000000003</v>
      </c>
      <c r="I32" s="12">
        <f t="shared" si="11"/>
        <v>0</v>
      </c>
      <c r="J32" s="12">
        <f>F32</f>
        <v>841.43830000000003</v>
      </c>
      <c r="K32" s="12">
        <f t="shared" si="13"/>
        <v>0</v>
      </c>
      <c r="L32" s="12">
        <f>K32+J32+I32</f>
        <v>841.43830000000003</v>
      </c>
      <c r="M32" s="157" t="s">
        <v>216</v>
      </c>
      <c r="N32" s="160"/>
    </row>
    <row r="33" spans="1:16" ht="146.25" x14ac:dyDescent="0.3">
      <c r="A33" s="159" t="s">
        <v>21</v>
      </c>
      <c r="B33" s="6" t="s">
        <v>22</v>
      </c>
      <c r="C33" s="153" t="s">
        <v>173</v>
      </c>
      <c r="D33" s="9"/>
      <c r="E33" s="9">
        <f>'Расходы 2025  ИСУ'!E30</f>
        <v>424246.44994000002</v>
      </c>
      <c r="F33" s="9"/>
      <c r="G33" s="9"/>
      <c r="H33" s="9">
        <f t="shared" si="2"/>
        <v>424246.44994000002</v>
      </c>
      <c r="I33" s="182">
        <f>'Расходы 2025  ИСУ'!F30</f>
        <v>509095.73992000002</v>
      </c>
      <c r="J33" s="9"/>
      <c r="K33" s="9"/>
      <c r="L33" s="9">
        <f>K33+J33+I33</f>
        <v>509095.73992000002</v>
      </c>
      <c r="M33" s="158" t="s">
        <v>215</v>
      </c>
      <c r="N33" s="164" t="s">
        <v>177</v>
      </c>
    </row>
    <row r="34" spans="1:16" ht="18.75" x14ac:dyDescent="0.3">
      <c r="A34" s="165" t="s">
        <v>147</v>
      </c>
      <c r="B34" s="150" t="s">
        <v>151</v>
      </c>
      <c r="C34" s="150"/>
      <c r="D34" s="150"/>
      <c r="E34" s="9">
        <f t="shared" ref="E34:K34" si="14">E33+E28+E26+E5</f>
        <v>440122.08190176002</v>
      </c>
      <c r="F34" s="9">
        <f t="shared" si="14"/>
        <v>16324.48153098864</v>
      </c>
      <c r="G34" s="9">
        <f t="shared" si="14"/>
        <v>16412.93362</v>
      </c>
      <c r="H34" s="9">
        <f t="shared" si="2"/>
        <v>472859.49705274863</v>
      </c>
      <c r="I34" s="9">
        <f t="shared" si="14"/>
        <v>528146.49827999994</v>
      </c>
      <c r="J34" s="9">
        <f t="shared" si="14"/>
        <v>19421.090179999999</v>
      </c>
      <c r="K34" s="9">
        <f t="shared" si="14"/>
        <v>19695.520349999999</v>
      </c>
      <c r="L34" s="9">
        <f t="shared" si="3"/>
        <v>567263.10880999989</v>
      </c>
      <c r="M34" s="173"/>
      <c r="N34" s="174"/>
    </row>
    <row r="35" spans="1:16" ht="19.5" thickBot="1" x14ac:dyDescent="0.35">
      <c r="A35" s="166" t="s">
        <v>147</v>
      </c>
      <c r="B35" s="167" t="s">
        <v>150</v>
      </c>
      <c r="C35" s="168"/>
      <c r="D35" s="169"/>
      <c r="E35" s="170">
        <f>E34-E33</f>
        <v>15875.631961759995</v>
      </c>
      <c r="F35" s="170">
        <f t="shared" ref="F35:K35" si="15">F34-F33</f>
        <v>16324.48153098864</v>
      </c>
      <c r="G35" s="170">
        <f t="shared" si="15"/>
        <v>16412.93362</v>
      </c>
      <c r="H35" s="170">
        <f t="shared" si="2"/>
        <v>48613.047112748638</v>
      </c>
      <c r="I35" s="170">
        <f t="shared" si="15"/>
        <v>19050.75835999992</v>
      </c>
      <c r="J35" s="170">
        <f t="shared" si="15"/>
        <v>19421.090179999999</v>
      </c>
      <c r="K35" s="170">
        <f t="shared" si="15"/>
        <v>19695.520349999999</v>
      </c>
      <c r="L35" s="170">
        <f t="shared" si="3"/>
        <v>58167.368889999918</v>
      </c>
      <c r="M35" s="175"/>
      <c r="N35" s="176"/>
      <c r="P35" s="3"/>
    </row>
    <row r="38" spans="1:16" ht="54" customHeight="1" x14ac:dyDescent="0.25">
      <c r="B38" s="14" t="s">
        <v>3</v>
      </c>
      <c r="C38" s="15">
        <v>2025</v>
      </c>
      <c r="D38" s="15">
        <v>2026</v>
      </c>
      <c r="E38" s="15">
        <v>2027</v>
      </c>
      <c r="L38" s="183"/>
    </row>
    <row r="39" spans="1:16" ht="45" x14ac:dyDescent="0.25">
      <c r="B39" s="7" t="s">
        <v>4</v>
      </c>
      <c r="C39" s="15">
        <v>104.8</v>
      </c>
      <c r="D39" s="15">
        <v>104.6</v>
      </c>
      <c r="E39" s="15">
        <f>D39</f>
        <v>104.6</v>
      </c>
    </row>
    <row r="41" spans="1:16" ht="31.5" x14ac:dyDescent="0.25">
      <c r="B41" s="2" t="s">
        <v>5</v>
      </c>
    </row>
    <row r="42" spans="1:16" x14ac:dyDescent="0.25">
      <c r="B42" s="25" t="s">
        <v>6</v>
      </c>
    </row>
    <row r="43" spans="1:16" ht="63" x14ac:dyDescent="0.25">
      <c r="B43" s="2" t="s">
        <v>7</v>
      </c>
    </row>
    <row r="44" spans="1:16" ht="60" customHeight="1" x14ac:dyDescent="0.25">
      <c r="C44" s="194" t="s">
        <v>182</v>
      </c>
      <c r="D44" s="194"/>
      <c r="E44" s="17">
        <v>2025</v>
      </c>
      <c r="F44" s="17">
        <v>2026</v>
      </c>
      <c r="G44" s="17">
        <v>2027</v>
      </c>
      <c r="H44" s="172" t="s">
        <v>181</v>
      </c>
    </row>
    <row r="45" spans="1:16" ht="15.75" x14ac:dyDescent="0.25">
      <c r="C45" s="195" t="s">
        <v>178</v>
      </c>
      <c r="D45" s="195"/>
      <c r="E45" s="5">
        <v>22554.163334578301</v>
      </c>
      <c r="F45" s="5">
        <f>F34-F47</f>
        <v>16102.69503098864</v>
      </c>
      <c r="G45" s="5">
        <f>G34-G47</f>
        <v>15848.418819999999</v>
      </c>
      <c r="H45" s="5">
        <f>G45+F45+E45</f>
        <v>54505.277185566942</v>
      </c>
    </row>
    <row r="46" spans="1:16" ht="31.5" customHeight="1" x14ac:dyDescent="0.25">
      <c r="C46" s="195" t="s">
        <v>179</v>
      </c>
      <c r="D46" s="195"/>
      <c r="E46" s="5">
        <f>E34-E45-E47</f>
        <v>417452.39094718173</v>
      </c>
      <c r="F46" s="5"/>
      <c r="G46" s="5"/>
      <c r="H46" s="5">
        <f>G46+F46+E46</f>
        <v>417452.39094718173</v>
      </c>
      <c r="J46" s="3"/>
    </row>
    <row r="47" spans="1:16" ht="31.5" customHeight="1" x14ac:dyDescent="0.25">
      <c r="C47" s="196" t="s">
        <v>185</v>
      </c>
      <c r="D47" s="197"/>
      <c r="E47" s="5">
        <v>115.52762</v>
      </c>
      <c r="F47" s="5">
        <v>221.78649999999999</v>
      </c>
      <c r="G47" s="5">
        <v>564.51480000000004</v>
      </c>
      <c r="H47" s="5">
        <f>G47+F47+E47</f>
        <v>901.82892000000004</v>
      </c>
      <c r="J47" s="3"/>
    </row>
    <row r="48" spans="1:16" ht="31.5" customHeight="1" x14ac:dyDescent="0.25">
      <c r="C48" s="198" t="s">
        <v>180</v>
      </c>
      <c r="D48" s="198"/>
      <c r="E48" s="5">
        <f>E46+E45+E47</f>
        <v>440122.08190176002</v>
      </c>
      <c r="F48" s="5">
        <f t="shared" ref="F48:G48" si="16">F46+F45+F47</f>
        <v>16324.48153098864</v>
      </c>
      <c r="G48" s="5">
        <f t="shared" si="16"/>
        <v>16412.93362</v>
      </c>
      <c r="H48" s="5">
        <f>G48+F48+E48</f>
        <v>472859.49705274863</v>
      </c>
      <c r="J48" s="3"/>
    </row>
    <row r="49" spans="5:5" x14ac:dyDescent="0.25">
      <c r="E49" s="171"/>
    </row>
  </sheetData>
  <mergeCells count="16">
    <mergeCell ref="C44:D44"/>
    <mergeCell ref="C45:D45"/>
    <mergeCell ref="C46:D46"/>
    <mergeCell ref="C47:D47"/>
    <mergeCell ref="C48:D48"/>
    <mergeCell ref="A2:M2"/>
    <mergeCell ref="M3:M4"/>
    <mergeCell ref="C3:C4"/>
    <mergeCell ref="N3:N4"/>
    <mergeCell ref="E3:G3"/>
    <mergeCell ref="I3:K3"/>
    <mergeCell ref="D3:D4"/>
    <mergeCell ref="B3:B4"/>
    <mergeCell ref="A3:A4"/>
    <mergeCell ref="H3:H4"/>
    <mergeCell ref="L3:L4"/>
  </mergeCells>
  <phoneticPr fontId="27" type="noConversion"/>
  <hyperlinks>
    <hyperlink ref="B42" r:id="rId1" xr:uid="{76C9FE44-41C9-43A2-8CF0-82826B5311B6}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38" fitToHeight="2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34154-620D-475D-9F9E-C72EC0AF48AE}">
  <dimension ref="A1:AMD11"/>
  <sheetViews>
    <sheetView view="pageBreakPreview" zoomScale="60" zoomScaleNormal="100" workbookViewId="0">
      <selection activeCell="D9" sqref="D9"/>
    </sheetView>
  </sheetViews>
  <sheetFormatPr defaultColWidth="8.85546875" defaultRowHeight="15.75" x14ac:dyDescent="0.25"/>
  <cols>
    <col min="1" max="1" width="8.5703125" style="20" customWidth="1"/>
    <col min="2" max="2" width="37.140625" style="20" customWidth="1"/>
    <col min="3" max="3" width="19" style="20" customWidth="1"/>
    <col min="4" max="4" width="33" style="20" customWidth="1"/>
    <col min="5" max="1018" width="8.85546875" style="20"/>
    <col min="1019" max="16384" width="8.85546875" style="21"/>
  </cols>
  <sheetData>
    <row r="1" spans="1:4" ht="63.75" customHeight="1" thickBot="1" x14ac:dyDescent="0.3">
      <c r="A1" s="199" t="s">
        <v>155</v>
      </c>
      <c r="B1" s="199"/>
      <c r="C1" s="199"/>
      <c r="D1" s="199"/>
    </row>
    <row r="2" spans="1:4" ht="31.5" x14ac:dyDescent="0.25">
      <c r="A2" s="26" t="s">
        <v>0</v>
      </c>
      <c r="B2" s="27" t="s">
        <v>3</v>
      </c>
      <c r="C2" s="27" t="s">
        <v>68</v>
      </c>
      <c r="D2" s="28" t="s">
        <v>69</v>
      </c>
    </row>
    <row r="3" spans="1:4" ht="31.5" x14ac:dyDescent="0.25">
      <c r="A3" s="29">
        <v>1</v>
      </c>
      <c r="B3" s="30" t="s">
        <v>56</v>
      </c>
      <c r="C3" s="22">
        <f>C4</f>
        <v>44832</v>
      </c>
      <c r="D3" s="31"/>
    </row>
    <row r="4" spans="1:4" ht="78.75" x14ac:dyDescent="0.25">
      <c r="A4" s="32" t="s">
        <v>59</v>
      </c>
      <c r="B4" s="30" t="s">
        <v>154</v>
      </c>
      <c r="C4" s="23">
        <v>44832</v>
      </c>
      <c r="D4" s="33" t="s">
        <v>152</v>
      </c>
    </row>
    <row r="5" spans="1:4" ht="31.5" x14ac:dyDescent="0.25">
      <c r="A5" s="29">
        <v>2</v>
      </c>
      <c r="B5" s="30" t="s">
        <v>60</v>
      </c>
      <c r="C5" s="22">
        <f>C6+C9</f>
        <v>426</v>
      </c>
      <c r="D5" s="31"/>
    </row>
    <row r="6" spans="1:4" ht="94.5" x14ac:dyDescent="0.25">
      <c r="A6" s="34" t="s">
        <v>18</v>
      </c>
      <c r="B6" s="30" t="s">
        <v>70</v>
      </c>
      <c r="C6" s="22">
        <v>129</v>
      </c>
      <c r="D6" s="33" t="s">
        <v>153</v>
      </c>
    </row>
    <row r="7" spans="1:4" x14ac:dyDescent="0.25">
      <c r="A7" s="32"/>
      <c r="B7" s="35" t="s">
        <v>71</v>
      </c>
      <c r="C7" s="23">
        <v>46</v>
      </c>
      <c r="D7" s="33"/>
    </row>
    <row r="8" spans="1:4" x14ac:dyDescent="0.25">
      <c r="A8" s="32"/>
      <c r="B8" s="35" t="s">
        <v>72</v>
      </c>
      <c r="C8" s="23">
        <v>83</v>
      </c>
      <c r="D8" s="33"/>
    </row>
    <row r="9" spans="1:4" ht="94.5" x14ac:dyDescent="0.25">
      <c r="A9" s="34" t="s">
        <v>61</v>
      </c>
      <c r="B9" s="30" t="s">
        <v>154</v>
      </c>
      <c r="C9" s="22">
        <v>297</v>
      </c>
      <c r="D9" s="33" t="s">
        <v>153</v>
      </c>
    </row>
    <row r="10" spans="1:4" x14ac:dyDescent="0.25">
      <c r="A10" s="36"/>
      <c r="B10" s="35" t="s">
        <v>71</v>
      </c>
      <c r="C10" s="23">
        <v>86</v>
      </c>
      <c r="D10" s="37"/>
    </row>
    <row r="11" spans="1:4" ht="16.5" thickBot="1" x14ac:dyDescent="0.3">
      <c r="A11" s="38"/>
      <c r="B11" s="39" t="s">
        <v>72</v>
      </c>
      <c r="C11" s="40">
        <v>211</v>
      </c>
      <c r="D11" s="41"/>
    </row>
  </sheetData>
  <mergeCells count="1">
    <mergeCell ref="A1:D1"/>
  </mergeCells>
  <pageMargins left="0.7" right="0.7" top="0.75" bottom="0.75" header="0.51180555555555496" footer="0.51180555555555496"/>
  <pageSetup paperSize="9" scale="7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E104C7-8032-4E11-A368-F782542AD1DB}">
  <dimension ref="A1:I121"/>
  <sheetViews>
    <sheetView view="pageBreakPreview" zoomScaleNormal="75" zoomScaleSheetLayoutView="100" workbookViewId="0">
      <selection activeCell="G8" sqref="G8"/>
    </sheetView>
  </sheetViews>
  <sheetFormatPr defaultRowHeight="12.75" x14ac:dyDescent="0.2"/>
  <cols>
    <col min="1" max="1" width="6.140625" style="42" bestFit="1" customWidth="1"/>
    <col min="2" max="2" width="108.140625" style="42" customWidth="1"/>
    <col min="3" max="3" width="17.7109375" style="42" customWidth="1"/>
    <col min="4" max="4" width="15.28515625" style="42" customWidth="1"/>
    <col min="5" max="5" width="21.7109375" style="42" bestFit="1" customWidth="1"/>
    <col min="6" max="6" width="20.28515625" style="42" customWidth="1"/>
    <col min="7" max="7" width="39" style="42" customWidth="1"/>
    <col min="8" max="8" width="16.140625" style="42" customWidth="1"/>
    <col min="9" max="256" width="9.140625" style="42"/>
    <col min="257" max="257" width="6.140625" style="42" bestFit="1" customWidth="1"/>
    <col min="258" max="258" width="108.140625" style="42" customWidth="1"/>
    <col min="259" max="259" width="17.7109375" style="42" customWidth="1"/>
    <col min="260" max="260" width="15.28515625" style="42" customWidth="1"/>
    <col min="261" max="261" width="21.7109375" style="42" bestFit="1" customWidth="1"/>
    <col min="262" max="262" width="20.28515625" style="42" customWidth="1"/>
    <col min="263" max="263" width="40.140625" style="42" customWidth="1"/>
    <col min="264" max="264" width="46.85546875" style="42" customWidth="1"/>
    <col min="265" max="512" width="9.140625" style="42"/>
    <col min="513" max="513" width="6.140625" style="42" bestFit="1" customWidth="1"/>
    <col min="514" max="514" width="108.140625" style="42" customWidth="1"/>
    <col min="515" max="515" width="17.7109375" style="42" customWidth="1"/>
    <col min="516" max="516" width="15.28515625" style="42" customWidth="1"/>
    <col min="517" max="517" width="21.7109375" style="42" bestFit="1" customWidth="1"/>
    <col min="518" max="518" width="20.28515625" style="42" customWidth="1"/>
    <col min="519" max="519" width="40.140625" style="42" customWidth="1"/>
    <col min="520" max="520" width="46.85546875" style="42" customWidth="1"/>
    <col min="521" max="768" width="9.140625" style="42"/>
    <col min="769" max="769" width="6.140625" style="42" bestFit="1" customWidth="1"/>
    <col min="770" max="770" width="108.140625" style="42" customWidth="1"/>
    <col min="771" max="771" width="17.7109375" style="42" customWidth="1"/>
    <col min="772" max="772" width="15.28515625" style="42" customWidth="1"/>
    <col min="773" max="773" width="21.7109375" style="42" bestFit="1" customWidth="1"/>
    <col min="774" max="774" width="20.28515625" style="42" customWidth="1"/>
    <col min="775" max="775" width="40.140625" style="42" customWidth="1"/>
    <col min="776" max="776" width="46.85546875" style="42" customWidth="1"/>
    <col min="777" max="1024" width="9.140625" style="42"/>
    <col min="1025" max="1025" width="6.140625" style="42" bestFit="1" customWidth="1"/>
    <col min="1026" max="1026" width="108.140625" style="42" customWidth="1"/>
    <col min="1027" max="1027" width="17.7109375" style="42" customWidth="1"/>
    <col min="1028" max="1028" width="15.28515625" style="42" customWidth="1"/>
    <col min="1029" max="1029" width="21.7109375" style="42" bestFit="1" customWidth="1"/>
    <col min="1030" max="1030" width="20.28515625" style="42" customWidth="1"/>
    <col min="1031" max="1031" width="40.140625" style="42" customWidth="1"/>
    <col min="1032" max="1032" width="46.85546875" style="42" customWidth="1"/>
    <col min="1033" max="1280" width="9.140625" style="42"/>
    <col min="1281" max="1281" width="6.140625" style="42" bestFit="1" customWidth="1"/>
    <col min="1282" max="1282" width="108.140625" style="42" customWidth="1"/>
    <col min="1283" max="1283" width="17.7109375" style="42" customWidth="1"/>
    <col min="1284" max="1284" width="15.28515625" style="42" customWidth="1"/>
    <col min="1285" max="1285" width="21.7109375" style="42" bestFit="1" customWidth="1"/>
    <col min="1286" max="1286" width="20.28515625" style="42" customWidth="1"/>
    <col min="1287" max="1287" width="40.140625" style="42" customWidth="1"/>
    <col min="1288" max="1288" width="46.85546875" style="42" customWidth="1"/>
    <col min="1289" max="1536" width="9.140625" style="42"/>
    <col min="1537" max="1537" width="6.140625" style="42" bestFit="1" customWidth="1"/>
    <col min="1538" max="1538" width="108.140625" style="42" customWidth="1"/>
    <col min="1539" max="1539" width="17.7109375" style="42" customWidth="1"/>
    <col min="1540" max="1540" width="15.28515625" style="42" customWidth="1"/>
    <col min="1541" max="1541" width="21.7109375" style="42" bestFit="1" customWidth="1"/>
    <col min="1542" max="1542" width="20.28515625" style="42" customWidth="1"/>
    <col min="1543" max="1543" width="40.140625" style="42" customWidth="1"/>
    <col min="1544" max="1544" width="46.85546875" style="42" customWidth="1"/>
    <col min="1545" max="1792" width="9.140625" style="42"/>
    <col min="1793" max="1793" width="6.140625" style="42" bestFit="1" customWidth="1"/>
    <col min="1794" max="1794" width="108.140625" style="42" customWidth="1"/>
    <col min="1795" max="1795" width="17.7109375" style="42" customWidth="1"/>
    <col min="1796" max="1796" width="15.28515625" style="42" customWidth="1"/>
    <col min="1797" max="1797" width="21.7109375" style="42" bestFit="1" customWidth="1"/>
    <col min="1798" max="1798" width="20.28515625" style="42" customWidth="1"/>
    <col min="1799" max="1799" width="40.140625" style="42" customWidth="1"/>
    <col min="1800" max="1800" width="46.85546875" style="42" customWidth="1"/>
    <col min="1801" max="2048" width="9.140625" style="42"/>
    <col min="2049" max="2049" width="6.140625" style="42" bestFit="1" customWidth="1"/>
    <col min="2050" max="2050" width="108.140625" style="42" customWidth="1"/>
    <col min="2051" max="2051" width="17.7109375" style="42" customWidth="1"/>
    <col min="2052" max="2052" width="15.28515625" style="42" customWidth="1"/>
    <col min="2053" max="2053" width="21.7109375" style="42" bestFit="1" customWidth="1"/>
    <col min="2054" max="2054" width="20.28515625" style="42" customWidth="1"/>
    <col min="2055" max="2055" width="40.140625" style="42" customWidth="1"/>
    <col min="2056" max="2056" width="46.85546875" style="42" customWidth="1"/>
    <col min="2057" max="2304" width="9.140625" style="42"/>
    <col min="2305" max="2305" width="6.140625" style="42" bestFit="1" customWidth="1"/>
    <col min="2306" max="2306" width="108.140625" style="42" customWidth="1"/>
    <col min="2307" max="2307" width="17.7109375" style="42" customWidth="1"/>
    <col min="2308" max="2308" width="15.28515625" style="42" customWidth="1"/>
    <col min="2309" max="2309" width="21.7109375" style="42" bestFit="1" customWidth="1"/>
    <col min="2310" max="2310" width="20.28515625" style="42" customWidth="1"/>
    <col min="2311" max="2311" width="40.140625" style="42" customWidth="1"/>
    <col min="2312" max="2312" width="46.85546875" style="42" customWidth="1"/>
    <col min="2313" max="2560" width="9.140625" style="42"/>
    <col min="2561" max="2561" width="6.140625" style="42" bestFit="1" customWidth="1"/>
    <col min="2562" max="2562" width="108.140625" style="42" customWidth="1"/>
    <col min="2563" max="2563" width="17.7109375" style="42" customWidth="1"/>
    <col min="2564" max="2564" width="15.28515625" style="42" customWidth="1"/>
    <col min="2565" max="2565" width="21.7109375" style="42" bestFit="1" customWidth="1"/>
    <col min="2566" max="2566" width="20.28515625" style="42" customWidth="1"/>
    <col min="2567" max="2567" width="40.140625" style="42" customWidth="1"/>
    <col min="2568" max="2568" width="46.85546875" style="42" customWidth="1"/>
    <col min="2569" max="2816" width="9.140625" style="42"/>
    <col min="2817" max="2817" width="6.140625" style="42" bestFit="1" customWidth="1"/>
    <col min="2818" max="2818" width="108.140625" style="42" customWidth="1"/>
    <col min="2819" max="2819" width="17.7109375" style="42" customWidth="1"/>
    <col min="2820" max="2820" width="15.28515625" style="42" customWidth="1"/>
    <col min="2821" max="2821" width="21.7109375" style="42" bestFit="1" customWidth="1"/>
    <col min="2822" max="2822" width="20.28515625" style="42" customWidth="1"/>
    <col min="2823" max="2823" width="40.140625" style="42" customWidth="1"/>
    <col min="2824" max="2824" width="46.85546875" style="42" customWidth="1"/>
    <col min="2825" max="3072" width="9.140625" style="42"/>
    <col min="3073" max="3073" width="6.140625" style="42" bestFit="1" customWidth="1"/>
    <col min="3074" max="3074" width="108.140625" style="42" customWidth="1"/>
    <col min="3075" max="3075" width="17.7109375" style="42" customWidth="1"/>
    <col min="3076" max="3076" width="15.28515625" style="42" customWidth="1"/>
    <col min="3077" max="3077" width="21.7109375" style="42" bestFit="1" customWidth="1"/>
    <col min="3078" max="3078" width="20.28515625" style="42" customWidth="1"/>
    <col min="3079" max="3079" width="40.140625" style="42" customWidth="1"/>
    <col min="3080" max="3080" width="46.85546875" style="42" customWidth="1"/>
    <col min="3081" max="3328" width="9.140625" style="42"/>
    <col min="3329" max="3329" width="6.140625" style="42" bestFit="1" customWidth="1"/>
    <col min="3330" max="3330" width="108.140625" style="42" customWidth="1"/>
    <col min="3331" max="3331" width="17.7109375" style="42" customWidth="1"/>
    <col min="3332" max="3332" width="15.28515625" style="42" customWidth="1"/>
    <col min="3333" max="3333" width="21.7109375" style="42" bestFit="1" customWidth="1"/>
    <col min="3334" max="3334" width="20.28515625" style="42" customWidth="1"/>
    <col min="3335" max="3335" width="40.140625" style="42" customWidth="1"/>
    <col min="3336" max="3336" width="46.85546875" style="42" customWidth="1"/>
    <col min="3337" max="3584" width="9.140625" style="42"/>
    <col min="3585" max="3585" width="6.140625" style="42" bestFit="1" customWidth="1"/>
    <col min="3586" max="3586" width="108.140625" style="42" customWidth="1"/>
    <col min="3587" max="3587" width="17.7109375" style="42" customWidth="1"/>
    <col min="3588" max="3588" width="15.28515625" style="42" customWidth="1"/>
    <col min="3589" max="3589" width="21.7109375" style="42" bestFit="1" customWidth="1"/>
    <col min="3590" max="3590" width="20.28515625" style="42" customWidth="1"/>
    <col min="3591" max="3591" width="40.140625" style="42" customWidth="1"/>
    <col min="3592" max="3592" width="46.85546875" style="42" customWidth="1"/>
    <col min="3593" max="3840" width="9.140625" style="42"/>
    <col min="3841" max="3841" width="6.140625" style="42" bestFit="1" customWidth="1"/>
    <col min="3842" max="3842" width="108.140625" style="42" customWidth="1"/>
    <col min="3843" max="3843" width="17.7109375" style="42" customWidth="1"/>
    <col min="3844" max="3844" width="15.28515625" style="42" customWidth="1"/>
    <col min="3845" max="3845" width="21.7109375" style="42" bestFit="1" customWidth="1"/>
    <col min="3846" max="3846" width="20.28515625" style="42" customWidth="1"/>
    <col min="3847" max="3847" width="40.140625" style="42" customWidth="1"/>
    <col min="3848" max="3848" width="46.85546875" style="42" customWidth="1"/>
    <col min="3849" max="4096" width="9.140625" style="42"/>
    <col min="4097" max="4097" width="6.140625" style="42" bestFit="1" customWidth="1"/>
    <col min="4098" max="4098" width="108.140625" style="42" customWidth="1"/>
    <col min="4099" max="4099" width="17.7109375" style="42" customWidth="1"/>
    <col min="4100" max="4100" width="15.28515625" style="42" customWidth="1"/>
    <col min="4101" max="4101" width="21.7109375" style="42" bestFit="1" customWidth="1"/>
    <col min="4102" max="4102" width="20.28515625" style="42" customWidth="1"/>
    <col min="4103" max="4103" width="40.140625" style="42" customWidth="1"/>
    <col min="4104" max="4104" width="46.85546875" style="42" customWidth="1"/>
    <col min="4105" max="4352" width="9.140625" style="42"/>
    <col min="4353" max="4353" width="6.140625" style="42" bestFit="1" customWidth="1"/>
    <col min="4354" max="4354" width="108.140625" style="42" customWidth="1"/>
    <col min="4355" max="4355" width="17.7109375" style="42" customWidth="1"/>
    <col min="4356" max="4356" width="15.28515625" style="42" customWidth="1"/>
    <col min="4357" max="4357" width="21.7109375" style="42" bestFit="1" customWidth="1"/>
    <col min="4358" max="4358" width="20.28515625" style="42" customWidth="1"/>
    <col min="4359" max="4359" width="40.140625" style="42" customWidth="1"/>
    <col min="4360" max="4360" width="46.85546875" style="42" customWidth="1"/>
    <col min="4361" max="4608" width="9.140625" style="42"/>
    <col min="4609" max="4609" width="6.140625" style="42" bestFit="1" customWidth="1"/>
    <col min="4610" max="4610" width="108.140625" style="42" customWidth="1"/>
    <col min="4611" max="4611" width="17.7109375" style="42" customWidth="1"/>
    <col min="4612" max="4612" width="15.28515625" style="42" customWidth="1"/>
    <col min="4613" max="4613" width="21.7109375" style="42" bestFit="1" customWidth="1"/>
    <col min="4614" max="4614" width="20.28515625" style="42" customWidth="1"/>
    <col min="4615" max="4615" width="40.140625" style="42" customWidth="1"/>
    <col min="4616" max="4616" width="46.85546875" style="42" customWidth="1"/>
    <col min="4617" max="4864" width="9.140625" style="42"/>
    <col min="4865" max="4865" width="6.140625" style="42" bestFit="1" customWidth="1"/>
    <col min="4866" max="4866" width="108.140625" style="42" customWidth="1"/>
    <col min="4867" max="4867" width="17.7109375" style="42" customWidth="1"/>
    <col min="4868" max="4868" width="15.28515625" style="42" customWidth="1"/>
    <col min="4869" max="4869" width="21.7109375" style="42" bestFit="1" customWidth="1"/>
    <col min="4870" max="4870" width="20.28515625" style="42" customWidth="1"/>
    <col min="4871" max="4871" width="40.140625" style="42" customWidth="1"/>
    <col min="4872" max="4872" width="46.85546875" style="42" customWidth="1"/>
    <col min="4873" max="5120" width="9.140625" style="42"/>
    <col min="5121" max="5121" width="6.140625" style="42" bestFit="1" customWidth="1"/>
    <col min="5122" max="5122" width="108.140625" style="42" customWidth="1"/>
    <col min="5123" max="5123" width="17.7109375" style="42" customWidth="1"/>
    <col min="5124" max="5124" width="15.28515625" style="42" customWidth="1"/>
    <col min="5125" max="5125" width="21.7109375" style="42" bestFit="1" customWidth="1"/>
    <col min="5126" max="5126" width="20.28515625" style="42" customWidth="1"/>
    <col min="5127" max="5127" width="40.140625" style="42" customWidth="1"/>
    <col min="5128" max="5128" width="46.85546875" style="42" customWidth="1"/>
    <col min="5129" max="5376" width="9.140625" style="42"/>
    <col min="5377" max="5377" width="6.140625" style="42" bestFit="1" customWidth="1"/>
    <col min="5378" max="5378" width="108.140625" style="42" customWidth="1"/>
    <col min="5379" max="5379" width="17.7109375" style="42" customWidth="1"/>
    <col min="5380" max="5380" width="15.28515625" style="42" customWidth="1"/>
    <col min="5381" max="5381" width="21.7109375" style="42" bestFit="1" customWidth="1"/>
    <col min="5382" max="5382" width="20.28515625" style="42" customWidth="1"/>
    <col min="5383" max="5383" width="40.140625" style="42" customWidth="1"/>
    <col min="5384" max="5384" width="46.85546875" style="42" customWidth="1"/>
    <col min="5385" max="5632" width="9.140625" style="42"/>
    <col min="5633" max="5633" width="6.140625" style="42" bestFit="1" customWidth="1"/>
    <col min="5634" max="5634" width="108.140625" style="42" customWidth="1"/>
    <col min="5635" max="5635" width="17.7109375" style="42" customWidth="1"/>
    <col min="5636" max="5636" width="15.28515625" style="42" customWidth="1"/>
    <col min="5637" max="5637" width="21.7109375" style="42" bestFit="1" customWidth="1"/>
    <col min="5638" max="5638" width="20.28515625" style="42" customWidth="1"/>
    <col min="5639" max="5639" width="40.140625" style="42" customWidth="1"/>
    <col min="5640" max="5640" width="46.85546875" style="42" customWidth="1"/>
    <col min="5641" max="5888" width="9.140625" style="42"/>
    <col min="5889" max="5889" width="6.140625" style="42" bestFit="1" customWidth="1"/>
    <col min="5890" max="5890" width="108.140625" style="42" customWidth="1"/>
    <col min="5891" max="5891" width="17.7109375" style="42" customWidth="1"/>
    <col min="5892" max="5892" width="15.28515625" style="42" customWidth="1"/>
    <col min="5893" max="5893" width="21.7109375" style="42" bestFit="1" customWidth="1"/>
    <col min="5894" max="5894" width="20.28515625" style="42" customWidth="1"/>
    <col min="5895" max="5895" width="40.140625" style="42" customWidth="1"/>
    <col min="5896" max="5896" width="46.85546875" style="42" customWidth="1"/>
    <col min="5897" max="6144" width="9.140625" style="42"/>
    <col min="6145" max="6145" width="6.140625" style="42" bestFit="1" customWidth="1"/>
    <col min="6146" max="6146" width="108.140625" style="42" customWidth="1"/>
    <col min="6147" max="6147" width="17.7109375" style="42" customWidth="1"/>
    <col min="6148" max="6148" width="15.28515625" style="42" customWidth="1"/>
    <col min="6149" max="6149" width="21.7109375" style="42" bestFit="1" customWidth="1"/>
    <col min="6150" max="6150" width="20.28515625" style="42" customWidth="1"/>
    <col min="6151" max="6151" width="40.140625" style="42" customWidth="1"/>
    <col min="6152" max="6152" width="46.85546875" style="42" customWidth="1"/>
    <col min="6153" max="6400" width="9.140625" style="42"/>
    <col min="6401" max="6401" width="6.140625" style="42" bestFit="1" customWidth="1"/>
    <col min="6402" max="6402" width="108.140625" style="42" customWidth="1"/>
    <col min="6403" max="6403" width="17.7109375" style="42" customWidth="1"/>
    <col min="6404" max="6404" width="15.28515625" style="42" customWidth="1"/>
    <col min="6405" max="6405" width="21.7109375" style="42" bestFit="1" customWidth="1"/>
    <col min="6406" max="6406" width="20.28515625" style="42" customWidth="1"/>
    <col min="6407" max="6407" width="40.140625" style="42" customWidth="1"/>
    <col min="6408" max="6408" width="46.85546875" style="42" customWidth="1"/>
    <col min="6409" max="6656" width="9.140625" style="42"/>
    <col min="6657" max="6657" width="6.140625" style="42" bestFit="1" customWidth="1"/>
    <col min="6658" max="6658" width="108.140625" style="42" customWidth="1"/>
    <col min="6659" max="6659" width="17.7109375" style="42" customWidth="1"/>
    <col min="6660" max="6660" width="15.28515625" style="42" customWidth="1"/>
    <col min="6661" max="6661" width="21.7109375" style="42" bestFit="1" customWidth="1"/>
    <col min="6662" max="6662" width="20.28515625" style="42" customWidth="1"/>
    <col min="6663" max="6663" width="40.140625" style="42" customWidth="1"/>
    <col min="6664" max="6664" width="46.85546875" style="42" customWidth="1"/>
    <col min="6665" max="6912" width="9.140625" style="42"/>
    <col min="6913" max="6913" width="6.140625" style="42" bestFit="1" customWidth="1"/>
    <col min="6914" max="6914" width="108.140625" style="42" customWidth="1"/>
    <col min="6915" max="6915" width="17.7109375" style="42" customWidth="1"/>
    <col min="6916" max="6916" width="15.28515625" style="42" customWidth="1"/>
    <col min="6917" max="6917" width="21.7109375" style="42" bestFit="1" customWidth="1"/>
    <col min="6918" max="6918" width="20.28515625" style="42" customWidth="1"/>
    <col min="6919" max="6919" width="40.140625" style="42" customWidth="1"/>
    <col min="6920" max="6920" width="46.85546875" style="42" customWidth="1"/>
    <col min="6921" max="7168" width="9.140625" style="42"/>
    <col min="7169" max="7169" width="6.140625" style="42" bestFit="1" customWidth="1"/>
    <col min="7170" max="7170" width="108.140625" style="42" customWidth="1"/>
    <col min="7171" max="7171" width="17.7109375" style="42" customWidth="1"/>
    <col min="7172" max="7172" width="15.28515625" style="42" customWidth="1"/>
    <col min="7173" max="7173" width="21.7109375" style="42" bestFit="1" customWidth="1"/>
    <col min="7174" max="7174" width="20.28515625" style="42" customWidth="1"/>
    <col min="7175" max="7175" width="40.140625" style="42" customWidth="1"/>
    <col min="7176" max="7176" width="46.85546875" style="42" customWidth="1"/>
    <col min="7177" max="7424" width="9.140625" style="42"/>
    <col min="7425" max="7425" width="6.140625" style="42" bestFit="1" customWidth="1"/>
    <col min="7426" max="7426" width="108.140625" style="42" customWidth="1"/>
    <col min="7427" max="7427" width="17.7109375" style="42" customWidth="1"/>
    <col min="7428" max="7428" width="15.28515625" style="42" customWidth="1"/>
    <col min="7429" max="7429" width="21.7109375" style="42" bestFit="1" customWidth="1"/>
    <col min="7430" max="7430" width="20.28515625" style="42" customWidth="1"/>
    <col min="7431" max="7431" width="40.140625" style="42" customWidth="1"/>
    <col min="7432" max="7432" width="46.85546875" style="42" customWidth="1"/>
    <col min="7433" max="7680" width="9.140625" style="42"/>
    <col min="7681" max="7681" width="6.140625" style="42" bestFit="1" customWidth="1"/>
    <col min="7682" max="7682" width="108.140625" style="42" customWidth="1"/>
    <col min="7683" max="7683" width="17.7109375" style="42" customWidth="1"/>
    <col min="7684" max="7684" width="15.28515625" style="42" customWidth="1"/>
    <col min="7685" max="7685" width="21.7109375" style="42" bestFit="1" customWidth="1"/>
    <col min="7686" max="7686" width="20.28515625" style="42" customWidth="1"/>
    <col min="7687" max="7687" width="40.140625" style="42" customWidth="1"/>
    <col min="7688" max="7688" width="46.85546875" style="42" customWidth="1"/>
    <col min="7689" max="7936" width="9.140625" style="42"/>
    <col min="7937" max="7937" width="6.140625" style="42" bestFit="1" customWidth="1"/>
    <col min="7938" max="7938" width="108.140625" style="42" customWidth="1"/>
    <col min="7939" max="7939" width="17.7109375" style="42" customWidth="1"/>
    <col min="7940" max="7940" width="15.28515625" style="42" customWidth="1"/>
    <col min="7941" max="7941" width="21.7109375" style="42" bestFit="1" customWidth="1"/>
    <col min="7942" max="7942" width="20.28515625" style="42" customWidth="1"/>
    <col min="7943" max="7943" width="40.140625" style="42" customWidth="1"/>
    <col min="7944" max="7944" width="46.85546875" style="42" customWidth="1"/>
    <col min="7945" max="8192" width="9.140625" style="42"/>
    <col min="8193" max="8193" width="6.140625" style="42" bestFit="1" customWidth="1"/>
    <col min="8194" max="8194" width="108.140625" style="42" customWidth="1"/>
    <col min="8195" max="8195" width="17.7109375" style="42" customWidth="1"/>
    <col min="8196" max="8196" width="15.28515625" style="42" customWidth="1"/>
    <col min="8197" max="8197" width="21.7109375" style="42" bestFit="1" customWidth="1"/>
    <col min="8198" max="8198" width="20.28515625" style="42" customWidth="1"/>
    <col min="8199" max="8199" width="40.140625" style="42" customWidth="1"/>
    <col min="8200" max="8200" width="46.85546875" style="42" customWidth="1"/>
    <col min="8201" max="8448" width="9.140625" style="42"/>
    <col min="8449" max="8449" width="6.140625" style="42" bestFit="1" customWidth="1"/>
    <col min="8450" max="8450" width="108.140625" style="42" customWidth="1"/>
    <col min="8451" max="8451" width="17.7109375" style="42" customWidth="1"/>
    <col min="8452" max="8452" width="15.28515625" style="42" customWidth="1"/>
    <col min="8453" max="8453" width="21.7109375" style="42" bestFit="1" customWidth="1"/>
    <col min="8454" max="8454" width="20.28515625" style="42" customWidth="1"/>
    <col min="8455" max="8455" width="40.140625" style="42" customWidth="1"/>
    <col min="8456" max="8456" width="46.85546875" style="42" customWidth="1"/>
    <col min="8457" max="8704" width="9.140625" style="42"/>
    <col min="8705" max="8705" width="6.140625" style="42" bestFit="1" customWidth="1"/>
    <col min="8706" max="8706" width="108.140625" style="42" customWidth="1"/>
    <col min="8707" max="8707" width="17.7109375" style="42" customWidth="1"/>
    <col min="8708" max="8708" width="15.28515625" style="42" customWidth="1"/>
    <col min="8709" max="8709" width="21.7109375" style="42" bestFit="1" customWidth="1"/>
    <col min="8710" max="8710" width="20.28515625" style="42" customWidth="1"/>
    <col min="8711" max="8711" width="40.140625" style="42" customWidth="1"/>
    <col min="8712" max="8712" width="46.85546875" style="42" customWidth="1"/>
    <col min="8713" max="8960" width="9.140625" style="42"/>
    <col min="8961" max="8961" width="6.140625" style="42" bestFit="1" customWidth="1"/>
    <col min="8962" max="8962" width="108.140625" style="42" customWidth="1"/>
    <col min="8963" max="8963" width="17.7109375" style="42" customWidth="1"/>
    <col min="8964" max="8964" width="15.28515625" style="42" customWidth="1"/>
    <col min="8965" max="8965" width="21.7109375" style="42" bestFit="1" customWidth="1"/>
    <col min="8966" max="8966" width="20.28515625" style="42" customWidth="1"/>
    <col min="8967" max="8967" width="40.140625" style="42" customWidth="1"/>
    <col min="8968" max="8968" width="46.85546875" style="42" customWidth="1"/>
    <col min="8969" max="9216" width="9.140625" style="42"/>
    <col min="9217" max="9217" width="6.140625" style="42" bestFit="1" customWidth="1"/>
    <col min="9218" max="9218" width="108.140625" style="42" customWidth="1"/>
    <col min="9219" max="9219" width="17.7109375" style="42" customWidth="1"/>
    <col min="9220" max="9220" width="15.28515625" style="42" customWidth="1"/>
    <col min="9221" max="9221" width="21.7109375" style="42" bestFit="1" customWidth="1"/>
    <col min="9222" max="9222" width="20.28515625" style="42" customWidth="1"/>
    <col min="9223" max="9223" width="40.140625" style="42" customWidth="1"/>
    <col min="9224" max="9224" width="46.85546875" style="42" customWidth="1"/>
    <col min="9225" max="9472" width="9.140625" style="42"/>
    <col min="9473" max="9473" width="6.140625" style="42" bestFit="1" customWidth="1"/>
    <col min="9474" max="9474" width="108.140625" style="42" customWidth="1"/>
    <col min="9475" max="9475" width="17.7109375" style="42" customWidth="1"/>
    <col min="9476" max="9476" width="15.28515625" style="42" customWidth="1"/>
    <col min="9477" max="9477" width="21.7109375" style="42" bestFit="1" customWidth="1"/>
    <col min="9478" max="9478" width="20.28515625" style="42" customWidth="1"/>
    <col min="9479" max="9479" width="40.140625" style="42" customWidth="1"/>
    <col min="9480" max="9480" width="46.85546875" style="42" customWidth="1"/>
    <col min="9481" max="9728" width="9.140625" style="42"/>
    <col min="9729" max="9729" width="6.140625" style="42" bestFit="1" customWidth="1"/>
    <col min="9730" max="9730" width="108.140625" style="42" customWidth="1"/>
    <col min="9731" max="9731" width="17.7109375" style="42" customWidth="1"/>
    <col min="9732" max="9732" width="15.28515625" style="42" customWidth="1"/>
    <col min="9733" max="9733" width="21.7109375" style="42" bestFit="1" customWidth="1"/>
    <col min="9734" max="9734" width="20.28515625" style="42" customWidth="1"/>
    <col min="9735" max="9735" width="40.140625" style="42" customWidth="1"/>
    <col min="9736" max="9736" width="46.85546875" style="42" customWidth="1"/>
    <col min="9737" max="9984" width="9.140625" style="42"/>
    <col min="9985" max="9985" width="6.140625" style="42" bestFit="1" customWidth="1"/>
    <col min="9986" max="9986" width="108.140625" style="42" customWidth="1"/>
    <col min="9987" max="9987" width="17.7109375" style="42" customWidth="1"/>
    <col min="9988" max="9988" width="15.28515625" style="42" customWidth="1"/>
    <col min="9989" max="9989" width="21.7109375" style="42" bestFit="1" customWidth="1"/>
    <col min="9990" max="9990" width="20.28515625" style="42" customWidth="1"/>
    <col min="9991" max="9991" width="40.140625" style="42" customWidth="1"/>
    <col min="9992" max="9992" width="46.85546875" style="42" customWidth="1"/>
    <col min="9993" max="10240" width="9.140625" style="42"/>
    <col min="10241" max="10241" width="6.140625" style="42" bestFit="1" customWidth="1"/>
    <col min="10242" max="10242" width="108.140625" style="42" customWidth="1"/>
    <col min="10243" max="10243" width="17.7109375" style="42" customWidth="1"/>
    <col min="10244" max="10244" width="15.28515625" style="42" customWidth="1"/>
    <col min="10245" max="10245" width="21.7109375" style="42" bestFit="1" customWidth="1"/>
    <col min="10246" max="10246" width="20.28515625" style="42" customWidth="1"/>
    <col min="10247" max="10247" width="40.140625" style="42" customWidth="1"/>
    <col min="10248" max="10248" width="46.85546875" style="42" customWidth="1"/>
    <col min="10249" max="10496" width="9.140625" style="42"/>
    <col min="10497" max="10497" width="6.140625" style="42" bestFit="1" customWidth="1"/>
    <col min="10498" max="10498" width="108.140625" style="42" customWidth="1"/>
    <col min="10499" max="10499" width="17.7109375" style="42" customWidth="1"/>
    <col min="10500" max="10500" width="15.28515625" style="42" customWidth="1"/>
    <col min="10501" max="10501" width="21.7109375" style="42" bestFit="1" customWidth="1"/>
    <col min="10502" max="10502" width="20.28515625" style="42" customWidth="1"/>
    <col min="10503" max="10503" width="40.140625" style="42" customWidth="1"/>
    <col min="10504" max="10504" width="46.85546875" style="42" customWidth="1"/>
    <col min="10505" max="10752" width="9.140625" style="42"/>
    <col min="10753" max="10753" width="6.140625" style="42" bestFit="1" customWidth="1"/>
    <col min="10754" max="10754" width="108.140625" style="42" customWidth="1"/>
    <col min="10755" max="10755" width="17.7109375" style="42" customWidth="1"/>
    <col min="10756" max="10756" width="15.28515625" style="42" customWidth="1"/>
    <col min="10757" max="10757" width="21.7109375" style="42" bestFit="1" customWidth="1"/>
    <col min="10758" max="10758" width="20.28515625" style="42" customWidth="1"/>
    <col min="10759" max="10759" width="40.140625" style="42" customWidth="1"/>
    <col min="10760" max="10760" width="46.85546875" style="42" customWidth="1"/>
    <col min="10761" max="11008" width="9.140625" style="42"/>
    <col min="11009" max="11009" width="6.140625" style="42" bestFit="1" customWidth="1"/>
    <col min="11010" max="11010" width="108.140625" style="42" customWidth="1"/>
    <col min="11011" max="11011" width="17.7109375" style="42" customWidth="1"/>
    <col min="11012" max="11012" width="15.28515625" style="42" customWidth="1"/>
    <col min="11013" max="11013" width="21.7109375" style="42" bestFit="1" customWidth="1"/>
    <col min="11014" max="11014" width="20.28515625" style="42" customWidth="1"/>
    <col min="11015" max="11015" width="40.140625" style="42" customWidth="1"/>
    <col min="11016" max="11016" width="46.85546875" style="42" customWidth="1"/>
    <col min="11017" max="11264" width="9.140625" style="42"/>
    <col min="11265" max="11265" width="6.140625" style="42" bestFit="1" customWidth="1"/>
    <col min="11266" max="11266" width="108.140625" style="42" customWidth="1"/>
    <col min="11267" max="11267" width="17.7109375" style="42" customWidth="1"/>
    <col min="11268" max="11268" width="15.28515625" style="42" customWidth="1"/>
    <col min="11269" max="11269" width="21.7109375" style="42" bestFit="1" customWidth="1"/>
    <col min="11270" max="11270" width="20.28515625" style="42" customWidth="1"/>
    <col min="11271" max="11271" width="40.140625" style="42" customWidth="1"/>
    <col min="11272" max="11272" width="46.85546875" style="42" customWidth="1"/>
    <col min="11273" max="11520" width="9.140625" style="42"/>
    <col min="11521" max="11521" width="6.140625" style="42" bestFit="1" customWidth="1"/>
    <col min="11522" max="11522" width="108.140625" style="42" customWidth="1"/>
    <col min="11523" max="11523" width="17.7109375" style="42" customWidth="1"/>
    <col min="11524" max="11524" width="15.28515625" style="42" customWidth="1"/>
    <col min="11525" max="11525" width="21.7109375" style="42" bestFit="1" customWidth="1"/>
    <col min="11526" max="11526" width="20.28515625" style="42" customWidth="1"/>
    <col min="11527" max="11527" width="40.140625" style="42" customWidth="1"/>
    <col min="11528" max="11528" width="46.85546875" style="42" customWidth="1"/>
    <col min="11529" max="11776" width="9.140625" style="42"/>
    <col min="11777" max="11777" width="6.140625" style="42" bestFit="1" customWidth="1"/>
    <col min="11778" max="11778" width="108.140625" style="42" customWidth="1"/>
    <col min="11779" max="11779" width="17.7109375" style="42" customWidth="1"/>
    <col min="11780" max="11780" width="15.28515625" style="42" customWidth="1"/>
    <col min="11781" max="11781" width="21.7109375" style="42" bestFit="1" customWidth="1"/>
    <col min="11782" max="11782" width="20.28515625" style="42" customWidth="1"/>
    <col min="11783" max="11783" width="40.140625" style="42" customWidth="1"/>
    <col min="11784" max="11784" width="46.85546875" style="42" customWidth="1"/>
    <col min="11785" max="12032" width="9.140625" style="42"/>
    <col min="12033" max="12033" width="6.140625" style="42" bestFit="1" customWidth="1"/>
    <col min="12034" max="12034" width="108.140625" style="42" customWidth="1"/>
    <col min="12035" max="12035" width="17.7109375" style="42" customWidth="1"/>
    <col min="12036" max="12036" width="15.28515625" style="42" customWidth="1"/>
    <col min="12037" max="12037" width="21.7109375" style="42" bestFit="1" customWidth="1"/>
    <col min="12038" max="12038" width="20.28515625" style="42" customWidth="1"/>
    <col min="12039" max="12039" width="40.140625" style="42" customWidth="1"/>
    <col min="12040" max="12040" width="46.85546875" style="42" customWidth="1"/>
    <col min="12041" max="12288" width="9.140625" style="42"/>
    <col min="12289" max="12289" width="6.140625" style="42" bestFit="1" customWidth="1"/>
    <col min="12290" max="12290" width="108.140625" style="42" customWidth="1"/>
    <col min="12291" max="12291" width="17.7109375" style="42" customWidth="1"/>
    <col min="12292" max="12292" width="15.28515625" style="42" customWidth="1"/>
    <col min="12293" max="12293" width="21.7109375" style="42" bestFit="1" customWidth="1"/>
    <col min="12294" max="12294" width="20.28515625" style="42" customWidth="1"/>
    <col min="12295" max="12295" width="40.140625" style="42" customWidth="1"/>
    <col min="12296" max="12296" width="46.85546875" style="42" customWidth="1"/>
    <col min="12297" max="12544" width="9.140625" style="42"/>
    <col min="12545" max="12545" width="6.140625" style="42" bestFit="1" customWidth="1"/>
    <col min="12546" max="12546" width="108.140625" style="42" customWidth="1"/>
    <col min="12547" max="12547" width="17.7109375" style="42" customWidth="1"/>
    <col min="12548" max="12548" width="15.28515625" style="42" customWidth="1"/>
    <col min="12549" max="12549" width="21.7109375" style="42" bestFit="1" customWidth="1"/>
    <col min="12550" max="12550" width="20.28515625" style="42" customWidth="1"/>
    <col min="12551" max="12551" width="40.140625" style="42" customWidth="1"/>
    <col min="12552" max="12552" width="46.85546875" style="42" customWidth="1"/>
    <col min="12553" max="12800" width="9.140625" style="42"/>
    <col min="12801" max="12801" width="6.140625" style="42" bestFit="1" customWidth="1"/>
    <col min="12802" max="12802" width="108.140625" style="42" customWidth="1"/>
    <col min="12803" max="12803" width="17.7109375" style="42" customWidth="1"/>
    <col min="12804" max="12804" width="15.28515625" style="42" customWidth="1"/>
    <col min="12805" max="12805" width="21.7109375" style="42" bestFit="1" customWidth="1"/>
    <col min="12806" max="12806" width="20.28515625" style="42" customWidth="1"/>
    <col min="12807" max="12807" width="40.140625" style="42" customWidth="1"/>
    <col min="12808" max="12808" width="46.85546875" style="42" customWidth="1"/>
    <col min="12809" max="13056" width="9.140625" style="42"/>
    <col min="13057" max="13057" width="6.140625" style="42" bestFit="1" customWidth="1"/>
    <col min="13058" max="13058" width="108.140625" style="42" customWidth="1"/>
    <col min="13059" max="13059" width="17.7109375" style="42" customWidth="1"/>
    <col min="13060" max="13060" width="15.28515625" style="42" customWidth="1"/>
    <col min="13061" max="13061" width="21.7109375" style="42" bestFit="1" customWidth="1"/>
    <col min="13062" max="13062" width="20.28515625" style="42" customWidth="1"/>
    <col min="13063" max="13063" width="40.140625" style="42" customWidth="1"/>
    <col min="13064" max="13064" width="46.85546875" style="42" customWidth="1"/>
    <col min="13065" max="13312" width="9.140625" style="42"/>
    <col min="13313" max="13313" width="6.140625" style="42" bestFit="1" customWidth="1"/>
    <col min="13314" max="13314" width="108.140625" style="42" customWidth="1"/>
    <col min="13315" max="13315" width="17.7109375" style="42" customWidth="1"/>
    <col min="13316" max="13316" width="15.28515625" style="42" customWidth="1"/>
    <col min="13317" max="13317" width="21.7109375" style="42" bestFit="1" customWidth="1"/>
    <col min="13318" max="13318" width="20.28515625" style="42" customWidth="1"/>
    <col min="13319" max="13319" width="40.140625" style="42" customWidth="1"/>
    <col min="13320" max="13320" width="46.85546875" style="42" customWidth="1"/>
    <col min="13321" max="13568" width="9.140625" style="42"/>
    <col min="13569" max="13569" width="6.140625" style="42" bestFit="1" customWidth="1"/>
    <col min="13570" max="13570" width="108.140625" style="42" customWidth="1"/>
    <col min="13571" max="13571" width="17.7109375" style="42" customWidth="1"/>
    <col min="13572" max="13572" width="15.28515625" style="42" customWidth="1"/>
    <col min="13573" max="13573" width="21.7109375" style="42" bestFit="1" customWidth="1"/>
    <col min="13574" max="13574" width="20.28515625" style="42" customWidth="1"/>
    <col min="13575" max="13575" width="40.140625" style="42" customWidth="1"/>
    <col min="13576" max="13576" width="46.85546875" style="42" customWidth="1"/>
    <col min="13577" max="13824" width="9.140625" style="42"/>
    <col min="13825" max="13825" width="6.140625" style="42" bestFit="1" customWidth="1"/>
    <col min="13826" max="13826" width="108.140625" style="42" customWidth="1"/>
    <col min="13827" max="13827" width="17.7109375" style="42" customWidth="1"/>
    <col min="13828" max="13828" width="15.28515625" style="42" customWidth="1"/>
    <col min="13829" max="13829" width="21.7109375" style="42" bestFit="1" customWidth="1"/>
    <col min="13830" max="13830" width="20.28515625" style="42" customWidth="1"/>
    <col min="13831" max="13831" width="40.140625" style="42" customWidth="1"/>
    <col min="13832" max="13832" width="46.85546875" style="42" customWidth="1"/>
    <col min="13833" max="14080" width="9.140625" style="42"/>
    <col min="14081" max="14081" width="6.140625" style="42" bestFit="1" customWidth="1"/>
    <col min="14082" max="14082" width="108.140625" style="42" customWidth="1"/>
    <col min="14083" max="14083" width="17.7109375" style="42" customWidth="1"/>
    <col min="14084" max="14084" width="15.28515625" style="42" customWidth="1"/>
    <col min="14085" max="14085" width="21.7109375" style="42" bestFit="1" customWidth="1"/>
    <col min="14086" max="14086" width="20.28515625" style="42" customWidth="1"/>
    <col min="14087" max="14087" width="40.140625" style="42" customWidth="1"/>
    <col min="14088" max="14088" width="46.85546875" style="42" customWidth="1"/>
    <col min="14089" max="14336" width="9.140625" style="42"/>
    <col min="14337" max="14337" width="6.140625" style="42" bestFit="1" customWidth="1"/>
    <col min="14338" max="14338" width="108.140625" style="42" customWidth="1"/>
    <col min="14339" max="14339" width="17.7109375" style="42" customWidth="1"/>
    <col min="14340" max="14340" width="15.28515625" style="42" customWidth="1"/>
    <col min="14341" max="14341" width="21.7109375" style="42" bestFit="1" customWidth="1"/>
    <col min="14342" max="14342" width="20.28515625" style="42" customWidth="1"/>
    <col min="14343" max="14343" width="40.140625" style="42" customWidth="1"/>
    <col min="14344" max="14344" width="46.85546875" style="42" customWidth="1"/>
    <col min="14345" max="14592" width="9.140625" style="42"/>
    <col min="14593" max="14593" width="6.140625" style="42" bestFit="1" customWidth="1"/>
    <col min="14594" max="14594" width="108.140625" style="42" customWidth="1"/>
    <col min="14595" max="14595" width="17.7109375" style="42" customWidth="1"/>
    <col min="14596" max="14596" width="15.28515625" style="42" customWidth="1"/>
    <col min="14597" max="14597" width="21.7109375" style="42" bestFit="1" customWidth="1"/>
    <col min="14598" max="14598" width="20.28515625" style="42" customWidth="1"/>
    <col min="14599" max="14599" width="40.140625" style="42" customWidth="1"/>
    <col min="14600" max="14600" width="46.85546875" style="42" customWidth="1"/>
    <col min="14601" max="14848" width="9.140625" style="42"/>
    <col min="14849" max="14849" width="6.140625" style="42" bestFit="1" customWidth="1"/>
    <col min="14850" max="14850" width="108.140625" style="42" customWidth="1"/>
    <col min="14851" max="14851" width="17.7109375" style="42" customWidth="1"/>
    <col min="14852" max="14852" width="15.28515625" style="42" customWidth="1"/>
    <col min="14853" max="14853" width="21.7109375" style="42" bestFit="1" customWidth="1"/>
    <col min="14854" max="14854" width="20.28515625" style="42" customWidth="1"/>
    <col min="14855" max="14855" width="40.140625" style="42" customWidth="1"/>
    <col min="14856" max="14856" width="46.85546875" style="42" customWidth="1"/>
    <col min="14857" max="15104" width="9.140625" style="42"/>
    <col min="15105" max="15105" width="6.140625" style="42" bestFit="1" customWidth="1"/>
    <col min="15106" max="15106" width="108.140625" style="42" customWidth="1"/>
    <col min="15107" max="15107" width="17.7109375" style="42" customWidth="1"/>
    <col min="15108" max="15108" width="15.28515625" style="42" customWidth="1"/>
    <col min="15109" max="15109" width="21.7109375" style="42" bestFit="1" customWidth="1"/>
    <col min="15110" max="15110" width="20.28515625" style="42" customWidth="1"/>
    <col min="15111" max="15111" width="40.140625" style="42" customWidth="1"/>
    <col min="15112" max="15112" width="46.85546875" style="42" customWidth="1"/>
    <col min="15113" max="15360" width="9.140625" style="42"/>
    <col min="15361" max="15361" width="6.140625" style="42" bestFit="1" customWidth="1"/>
    <col min="15362" max="15362" width="108.140625" style="42" customWidth="1"/>
    <col min="15363" max="15363" width="17.7109375" style="42" customWidth="1"/>
    <col min="15364" max="15364" width="15.28515625" style="42" customWidth="1"/>
    <col min="15365" max="15365" width="21.7109375" style="42" bestFit="1" customWidth="1"/>
    <col min="15366" max="15366" width="20.28515625" style="42" customWidth="1"/>
    <col min="15367" max="15367" width="40.140625" style="42" customWidth="1"/>
    <col min="15368" max="15368" width="46.85546875" style="42" customWidth="1"/>
    <col min="15369" max="15616" width="9.140625" style="42"/>
    <col min="15617" max="15617" width="6.140625" style="42" bestFit="1" customWidth="1"/>
    <col min="15618" max="15618" width="108.140625" style="42" customWidth="1"/>
    <col min="15619" max="15619" width="17.7109375" style="42" customWidth="1"/>
    <col min="15620" max="15620" width="15.28515625" style="42" customWidth="1"/>
    <col min="15621" max="15621" width="21.7109375" style="42" bestFit="1" customWidth="1"/>
    <col min="15622" max="15622" width="20.28515625" style="42" customWidth="1"/>
    <col min="15623" max="15623" width="40.140625" style="42" customWidth="1"/>
    <col min="15624" max="15624" width="46.85546875" style="42" customWidth="1"/>
    <col min="15625" max="15872" width="9.140625" style="42"/>
    <col min="15873" max="15873" width="6.140625" style="42" bestFit="1" customWidth="1"/>
    <col min="15874" max="15874" width="108.140625" style="42" customWidth="1"/>
    <col min="15875" max="15875" width="17.7109375" style="42" customWidth="1"/>
    <col min="15876" max="15876" width="15.28515625" style="42" customWidth="1"/>
    <col min="15877" max="15877" width="21.7109375" style="42" bestFit="1" customWidth="1"/>
    <col min="15878" max="15878" width="20.28515625" style="42" customWidth="1"/>
    <col min="15879" max="15879" width="40.140625" style="42" customWidth="1"/>
    <col min="15880" max="15880" width="46.85546875" style="42" customWidth="1"/>
    <col min="15881" max="16128" width="9.140625" style="42"/>
    <col min="16129" max="16129" width="6.140625" style="42" bestFit="1" customWidth="1"/>
    <col min="16130" max="16130" width="108.140625" style="42" customWidth="1"/>
    <col min="16131" max="16131" width="17.7109375" style="42" customWidth="1"/>
    <col min="16132" max="16132" width="15.28515625" style="42" customWidth="1"/>
    <col min="16133" max="16133" width="21.7109375" style="42" bestFit="1" customWidth="1"/>
    <col min="16134" max="16134" width="20.28515625" style="42" customWidth="1"/>
    <col min="16135" max="16135" width="40.140625" style="42" customWidth="1"/>
    <col min="16136" max="16136" width="46.85546875" style="42" customWidth="1"/>
    <col min="16137" max="16384" width="9.140625" style="42"/>
  </cols>
  <sheetData>
    <row r="1" spans="1:8" ht="18.75" x14ac:dyDescent="0.2">
      <c r="G1" s="43" t="s">
        <v>157</v>
      </c>
    </row>
    <row r="2" spans="1:8" ht="30" customHeight="1" x14ac:dyDescent="0.2">
      <c r="A2" s="200" t="s">
        <v>159</v>
      </c>
      <c r="B2" s="200"/>
      <c r="C2" s="200"/>
      <c r="D2" s="200"/>
      <c r="E2" s="200"/>
      <c r="F2" s="200"/>
      <c r="G2" s="200"/>
    </row>
    <row r="3" spans="1:8" ht="30" customHeight="1" thickBot="1" x14ac:dyDescent="0.25">
      <c r="A3" s="201" t="s">
        <v>73</v>
      </c>
      <c r="B3" s="201"/>
      <c r="C3" s="201"/>
      <c r="D3" s="201"/>
      <c r="E3" s="201"/>
      <c r="F3" s="201"/>
      <c r="G3" s="201"/>
    </row>
    <row r="4" spans="1:8" ht="90" x14ac:dyDescent="0.25">
      <c r="A4" s="44" t="s">
        <v>0</v>
      </c>
      <c r="B4" s="45" t="s">
        <v>74</v>
      </c>
      <c r="C4" s="46" t="s">
        <v>75</v>
      </c>
      <c r="D4" s="46" t="s">
        <v>76</v>
      </c>
      <c r="E4" s="46" t="s">
        <v>77</v>
      </c>
      <c r="F4" s="46" t="s">
        <v>78</v>
      </c>
      <c r="G4" s="47" t="s">
        <v>79</v>
      </c>
      <c r="H4" s="48"/>
    </row>
    <row r="5" spans="1:8" ht="56.25" x14ac:dyDescent="0.3">
      <c r="A5" s="49" t="s">
        <v>80</v>
      </c>
      <c r="B5" s="50" t="s">
        <v>81</v>
      </c>
      <c r="C5" s="51"/>
      <c r="D5" s="51"/>
      <c r="E5" s="52">
        <f>E6+E9</f>
        <v>397632.09563</v>
      </c>
      <c r="F5" s="52">
        <f>F6+F9</f>
        <v>477158.51475000003</v>
      </c>
      <c r="G5" s="53"/>
      <c r="H5" s="54"/>
    </row>
    <row r="6" spans="1:8" ht="18.75" x14ac:dyDescent="0.3">
      <c r="A6" s="49" t="s">
        <v>57</v>
      </c>
      <c r="B6" s="50" t="s">
        <v>82</v>
      </c>
      <c r="C6" s="51"/>
      <c r="D6" s="55">
        <f>D7</f>
        <v>44832</v>
      </c>
      <c r="E6" s="52">
        <f>E7+E8</f>
        <v>387129.924</v>
      </c>
      <c r="F6" s="52">
        <f>F7+F8</f>
        <v>464555.90880000003</v>
      </c>
      <c r="G6" s="53"/>
      <c r="H6" s="54"/>
    </row>
    <row r="7" spans="1:8" ht="30" x14ac:dyDescent="0.25">
      <c r="A7" s="56" t="s">
        <v>83</v>
      </c>
      <c r="B7" s="57" t="s">
        <v>84</v>
      </c>
      <c r="C7" s="58">
        <v>8965.75</v>
      </c>
      <c r="D7" s="59">
        <f>'План приборы 2025'!C4</f>
        <v>44832</v>
      </c>
      <c r="E7" s="58">
        <f>ROUND(F7/1.2,5)</f>
        <v>334960.42</v>
      </c>
      <c r="F7" s="58">
        <f>C7*D7/1000</f>
        <v>401952.50400000002</v>
      </c>
      <c r="G7" s="60" t="s">
        <v>85</v>
      </c>
    </row>
    <row r="8" spans="1:8" ht="30" x14ac:dyDescent="0.25">
      <c r="A8" s="56" t="s">
        <v>86</v>
      </c>
      <c r="B8" s="57" t="s">
        <v>87</v>
      </c>
      <c r="C8" s="58">
        <v>1396.4</v>
      </c>
      <c r="D8" s="59">
        <f>D7</f>
        <v>44832</v>
      </c>
      <c r="E8" s="58">
        <f>ROUND(F8/1.2,5)</f>
        <v>52169.504000000001</v>
      </c>
      <c r="F8" s="58">
        <f>C8*D8/1000</f>
        <v>62603.404800000004</v>
      </c>
      <c r="G8" s="60" t="s">
        <v>212</v>
      </c>
    </row>
    <row r="9" spans="1:8" ht="18.75" x14ac:dyDescent="0.3">
      <c r="A9" s="49" t="s">
        <v>58</v>
      </c>
      <c r="B9" s="50" t="s">
        <v>88</v>
      </c>
      <c r="C9" s="51"/>
      <c r="D9" s="55">
        <f>D10+D11</f>
        <v>426</v>
      </c>
      <c r="E9" s="52">
        <f>E10+E11+E12+E13</f>
        <v>10502.171629999999</v>
      </c>
      <c r="F9" s="52">
        <f>F10+F11+F12+F13</f>
        <v>12602.605949999999</v>
      </c>
      <c r="G9" s="53"/>
    </row>
    <row r="10" spans="1:8" ht="89.25" customHeight="1" x14ac:dyDescent="0.25">
      <c r="A10" s="56" t="s">
        <v>89</v>
      </c>
      <c r="B10" s="57" t="s">
        <v>90</v>
      </c>
      <c r="C10" s="58">
        <v>24440.18</v>
      </c>
      <c r="D10" s="59">
        <f>'План приборы 2025'!C7+'План приборы 2025'!C10</f>
        <v>132</v>
      </c>
      <c r="E10" s="58">
        <f t="shared" ref="E10:E13" si="0">ROUND(F10/1.2,5)</f>
        <v>2688.4198000000001</v>
      </c>
      <c r="F10" s="58">
        <f t="shared" ref="F10:F13" si="1">C10*D10/1000</f>
        <v>3226.1037600000004</v>
      </c>
      <c r="G10" s="60" t="s">
        <v>85</v>
      </c>
    </row>
    <row r="11" spans="1:8" ht="89.25" customHeight="1" x14ac:dyDescent="0.25">
      <c r="A11" s="56" t="s">
        <v>91</v>
      </c>
      <c r="B11" s="57" t="s">
        <v>92</v>
      </c>
      <c r="C11" s="58">
        <v>22330.45</v>
      </c>
      <c r="D11" s="59">
        <f>'План приборы 2025'!C11+'План приборы 2025'!C8</f>
        <v>294</v>
      </c>
      <c r="E11" s="58">
        <f t="shared" si="0"/>
        <v>5470.9602500000001</v>
      </c>
      <c r="F11" s="58">
        <f t="shared" si="1"/>
        <v>6565.1522999999997</v>
      </c>
      <c r="G11" s="60" t="s">
        <v>85</v>
      </c>
    </row>
    <row r="12" spans="1:8" ht="39.75" customHeight="1" x14ac:dyDescent="0.25">
      <c r="A12" s="56" t="s">
        <v>93</v>
      </c>
      <c r="B12" s="57" t="s">
        <v>94</v>
      </c>
      <c r="C12" s="58">
        <v>1897.16</v>
      </c>
      <c r="D12" s="59">
        <f>'План приборы 2025'!C9</f>
        <v>297</v>
      </c>
      <c r="E12" s="58">
        <f t="shared" si="0"/>
        <v>469.5471</v>
      </c>
      <c r="F12" s="58">
        <f t="shared" si="1"/>
        <v>563.45652000000007</v>
      </c>
      <c r="G12" s="60" t="s">
        <v>212</v>
      </c>
    </row>
    <row r="13" spans="1:8" ht="59.25" customHeight="1" x14ac:dyDescent="0.25">
      <c r="A13" s="56" t="s">
        <v>95</v>
      </c>
      <c r="B13" s="57" t="s">
        <v>96</v>
      </c>
      <c r="C13" s="58">
        <f>12148.57+5276.96</f>
        <v>17425.53</v>
      </c>
      <c r="D13" s="59">
        <f>'План приборы 2025'!C6</f>
        <v>129</v>
      </c>
      <c r="E13" s="58">
        <f t="shared" si="0"/>
        <v>1873.2444800000001</v>
      </c>
      <c r="F13" s="58">
        <f t="shared" si="1"/>
        <v>2247.8933699999998</v>
      </c>
      <c r="G13" s="60" t="s">
        <v>212</v>
      </c>
    </row>
    <row r="14" spans="1:8" ht="37.5" x14ac:dyDescent="0.3">
      <c r="A14" s="49" t="s">
        <v>97</v>
      </c>
      <c r="B14" s="61" t="s">
        <v>98</v>
      </c>
      <c r="C14" s="62"/>
      <c r="D14" s="63">
        <f>D15</f>
        <v>60</v>
      </c>
      <c r="E14" s="64">
        <f>E16+E17+E15</f>
        <v>7183.2191999999995</v>
      </c>
      <c r="F14" s="64">
        <f>F16+F17+F15</f>
        <v>8619.8630400000002</v>
      </c>
      <c r="G14" s="65"/>
    </row>
    <row r="15" spans="1:8" ht="30" x14ac:dyDescent="0.25">
      <c r="A15" s="56" t="s">
        <v>99</v>
      </c>
      <c r="B15" s="66" t="s">
        <v>100</v>
      </c>
      <c r="C15" s="67">
        <v>108302.39999999999</v>
      </c>
      <c r="D15" s="68">
        <f>E45</f>
        <v>60</v>
      </c>
      <c r="E15" s="58">
        <f t="shared" ref="E15" si="2">ROUND(F15/1.2,5)</f>
        <v>5415.12</v>
      </c>
      <c r="F15" s="58">
        <f t="shared" ref="F15" si="3">C15*D15/1000</f>
        <v>6498.1440000000002</v>
      </c>
      <c r="G15" s="60" t="s">
        <v>85</v>
      </c>
    </row>
    <row r="16" spans="1:8" ht="30" x14ac:dyDescent="0.25">
      <c r="A16" s="56" t="s">
        <v>101</v>
      </c>
      <c r="B16" s="66" t="s">
        <v>102</v>
      </c>
      <c r="C16" s="67">
        <v>19222.87</v>
      </c>
      <c r="D16" s="68">
        <f>D15</f>
        <v>60</v>
      </c>
      <c r="E16" s="67">
        <f t="shared" ref="E16" si="4">F16/1.2</f>
        <v>961.14350000000002</v>
      </c>
      <c r="F16" s="67">
        <f>C16*D16/1000</f>
        <v>1153.3722</v>
      </c>
      <c r="G16" s="60" t="s">
        <v>212</v>
      </c>
    </row>
    <row r="17" spans="1:7" ht="45" customHeight="1" x14ac:dyDescent="0.25">
      <c r="A17" s="56" t="s">
        <v>103</v>
      </c>
      <c r="B17" s="66" t="s">
        <v>104</v>
      </c>
      <c r="C17" s="67"/>
      <c r="D17" s="68">
        <f>D16</f>
        <v>60</v>
      </c>
      <c r="E17" s="67">
        <f>SUM(E18:E27)</f>
        <v>806.95570000000009</v>
      </c>
      <c r="F17" s="67">
        <f>SUM(F18:F27)</f>
        <v>968.34684000000004</v>
      </c>
      <c r="G17" s="202" t="s">
        <v>211</v>
      </c>
    </row>
    <row r="18" spans="1:7" ht="15" x14ac:dyDescent="0.25">
      <c r="A18" s="56" t="s">
        <v>105</v>
      </c>
      <c r="B18" s="69" t="s">
        <v>106</v>
      </c>
      <c r="C18" s="67">
        <v>5669.08</v>
      </c>
      <c r="D18" s="68">
        <f>D17</f>
        <v>60</v>
      </c>
      <c r="E18" s="67">
        <f>ROUND(F18/1.2,5)</f>
        <v>283.45400000000001</v>
      </c>
      <c r="F18" s="67">
        <f>C18*D18/1000</f>
        <v>340.14479999999998</v>
      </c>
      <c r="G18" s="203"/>
    </row>
    <row r="19" spans="1:7" ht="45" x14ac:dyDescent="0.25">
      <c r="A19" s="56" t="s">
        <v>107</v>
      </c>
      <c r="B19" s="69" t="s">
        <v>108</v>
      </c>
      <c r="C19" s="67">
        <v>364.12</v>
      </c>
      <c r="D19" s="70">
        <f>1000/500*D15</f>
        <v>120</v>
      </c>
      <c r="E19" s="67">
        <f t="shared" ref="E19:E27" si="5">ROUND(F19/1.2,5)</f>
        <v>36.411999999999999</v>
      </c>
      <c r="F19" s="67">
        <f t="shared" ref="F19:F27" si="6">C19*D19/1000</f>
        <v>43.694400000000002</v>
      </c>
      <c r="G19" s="203"/>
    </row>
    <row r="20" spans="1:7" ht="15" x14ac:dyDescent="0.25">
      <c r="A20" s="56" t="s">
        <v>109</v>
      </c>
      <c r="B20" s="69" t="s">
        <v>110</v>
      </c>
      <c r="C20" s="67">
        <v>2785.86</v>
      </c>
      <c r="D20" s="68">
        <f>D14</f>
        <v>60</v>
      </c>
      <c r="E20" s="67">
        <f t="shared" si="5"/>
        <v>139.29300000000001</v>
      </c>
      <c r="F20" s="67">
        <f t="shared" si="6"/>
        <v>167.1516</v>
      </c>
      <c r="G20" s="203"/>
    </row>
    <row r="21" spans="1:7" ht="30" x14ac:dyDescent="0.25">
      <c r="A21" s="56" t="s">
        <v>111</v>
      </c>
      <c r="B21" s="69" t="s">
        <v>112</v>
      </c>
      <c r="C21" s="67">
        <v>28.6</v>
      </c>
      <c r="D21" s="70">
        <f>D19</f>
        <v>120</v>
      </c>
      <c r="E21" s="67">
        <f t="shared" si="5"/>
        <v>2.86</v>
      </c>
      <c r="F21" s="67">
        <f t="shared" si="6"/>
        <v>3.4319999999999999</v>
      </c>
      <c r="G21" s="203"/>
    </row>
    <row r="22" spans="1:7" ht="30" x14ac:dyDescent="0.25">
      <c r="A22" s="56" t="s">
        <v>113</v>
      </c>
      <c r="B22" s="69" t="s">
        <v>114</v>
      </c>
      <c r="C22" s="67">
        <v>75.069999999999993</v>
      </c>
      <c r="D22" s="70">
        <f>1500/500*D14</f>
        <v>180</v>
      </c>
      <c r="E22" s="67">
        <f t="shared" si="5"/>
        <v>11.2605</v>
      </c>
      <c r="F22" s="67">
        <f t="shared" si="6"/>
        <v>13.512599999999999</v>
      </c>
      <c r="G22" s="203"/>
    </row>
    <row r="23" spans="1:7" ht="30" x14ac:dyDescent="0.25">
      <c r="A23" s="56" t="s">
        <v>115</v>
      </c>
      <c r="B23" s="69" t="s">
        <v>116</v>
      </c>
      <c r="C23" s="67">
        <v>266.60000000000002</v>
      </c>
      <c r="D23" s="70">
        <f>1500/500*D14</f>
        <v>180</v>
      </c>
      <c r="E23" s="67">
        <f t="shared" si="5"/>
        <v>39.99</v>
      </c>
      <c r="F23" s="67">
        <f t="shared" si="6"/>
        <v>47.988000000000007</v>
      </c>
      <c r="G23" s="203"/>
    </row>
    <row r="24" spans="1:7" ht="30" x14ac:dyDescent="0.25">
      <c r="A24" s="56" t="s">
        <v>117</v>
      </c>
      <c r="B24" s="69" t="s">
        <v>118</v>
      </c>
      <c r="C24" s="67">
        <v>215.36</v>
      </c>
      <c r="D24" s="68">
        <f>D14</f>
        <v>60</v>
      </c>
      <c r="E24" s="67">
        <f t="shared" si="5"/>
        <v>10.768000000000001</v>
      </c>
      <c r="F24" s="67">
        <f t="shared" si="6"/>
        <v>12.9216</v>
      </c>
      <c r="G24" s="203"/>
    </row>
    <row r="25" spans="1:7" ht="30" x14ac:dyDescent="0.25">
      <c r="A25" s="56" t="s">
        <v>119</v>
      </c>
      <c r="B25" s="69" t="s">
        <v>120</v>
      </c>
      <c r="C25" s="67">
        <v>242.84</v>
      </c>
      <c r="D25" s="68">
        <f>D14</f>
        <v>60</v>
      </c>
      <c r="E25" s="67">
        <f t="shared" si="5"/>
        <v>12.141999999999999</v>
      </c>
      <c r="F25" s="67">
        <f t="shared" si="6"/>
        <v>14.570399999999999</v>
      </c>
      <c r="G25" s="203"/>
    </row>
    <row r="26" spans="1:7" ht="30" x14ac:dyDescent="0.25">
      <c r="A26" s="56" t="s">
        <v>121</v>
      </c>
      <c r="B26" s="69" t="s">
        <v>122</v>
      </c>
      <c r="C26" s="67">
        <v>2573.14</v>
      </c>
      <c r="D26" s="70">
        <f>1000/500*D14</f>
        <v>120</v>
      </c>
      <c r="E26" s="67">
        <f t="shared" si="5"/>
        <v>257.31400000000002</v>
      </c>
      <c r="F26" s="67">
        <f t="shared" si="6"/>
        <v>308.77679999999998</v>
      </c>
      <c r="G26" s="203"/>
    </row>
    <row r="27" spans="1:7" ht="45" x14ac:dyDescent="0.25">
      <c r="A27" s="56" t="s">
        <v>123</v>
      </c>
      <c r="B27" s="69" t="s">
        <v>124</v>
      </c>
      <c r="C27" s="67">
        <v>8974.7999999999993</v>
      </c>
      <c r="D27" s="70">
        <f>15/500*D14</f>
        <v>1.7999999999999998</v>
      </c>
      <c r="E27" s="67">
        <f t="shared" si="5"/>
        <v>13.462199999999999</v>
      </c>
      <c r="F27" s="67">
        <f t="shared" si="6"/>
        <v>16.154639999999997</v>
      </c>
      <c r="G27" s="204"/>
    </row>
    <row r="28" spans="1:7" ht="18.75" x14ac:dyDescent="0.3">
      <c r="A28" s="49">
        <v>3</v>
      </c>
      <c r="B28" s="71" t="s">
        <v>125</v>
      </c>
      <c r="C28" s="72"/>
      <c r="D28" s="72"/>
      <c r="E28" s="73">
        <f>E14+E5</f>
        <v>404815.31482999999</v>
      </c>
      <c r="F28" s="73">
        <f>F14+F5</f>
        <v>485778.37779000006</v>
      </c>
      <c r="G28" s="74"/>
    </row>
    <row r="29" spans="1:7" ht="18.75" x14ac:dyDescent="0.3">
      <c r="A29" s="75"/>
      <c r="B29" s="71" t="s">
        <v>126</v>
      </c>
      <c r="C29" s="72"/>
      <c r="D29" s="72"/>
      <c r="E29" s="73">
        <f>C34/100</f>
        <v>1.048</v>
      </c>
      <c r="F29" s="73">
        <f>E29</f>
        <v>1.048</v>
      </c>
      <c r="G29" s="74"/>
    </row>
    <row r="30" spans="1:7" ht="60" customHeight="1" thickBot="1" x14ac:dyDescent="0.35">
      <c r="A30" s="76">
        <v>4</v>
      </c>
      <c r="B30" s="77" t="s">
        <v>127</v>
      </c>
      <c r="C30" s="78"/>
      <c r="D30" s="78"/>
      <c r="E30" s="79">
        <f>ROUND(E28*E29,5)</f>
        <v>424246.44994000002</v>
      </c>
      <c r="F30" s="79">
        <f>ROUND(F28*F29,5)</f>
        <v>509095.73992000002</v>
      </c>
      <c r="G30" s="80"/>
    </row>
    <row r="31" spans="1:7" ht="15" x14ac:dyDescent="0.25">
      <c r="C31" s="81"/>
      <c r="D31" s="81"/>
      <c r="E31" s="81"/>
      <c r="F31" s="81"/>
      <c r="G31" s="81"/>
    </row>
    <row r="32" spans="1:7" ht="15" x14ac:dyDescent="0.25">
      <c r="B32" s="81"/>
    </row>
    <row r="33" spans="1:9" ht="15" x14ac:dyDescent="0.25">
      <c r="B33" s="82" t="s">
        <v>3</v>
      </c>
      <c r="C33" s="83">
        <v>2025</v>
      </c>
      <c r="D33" s="84"/>
      <c r="E33" s="85"/>
      <c r="F33" s="21"/>
      <c r="G33" s="21"/>
      <c r="H33" s="83"/>
      <c r="I33" s="21"/>
    </row>
    <row r="34" spans="1:9" ht="50.25" customHeight="1" x14ac:dyDescent="0.25">
      <c r="B34" s="86" t="s">
        <v>4</v>
      </c>
      <c r="C34" s="83">
        <v>104.8</v>
      </c>
      <c r="D34" s="84"/>
      <c r="E34" s="85"/>
      <c r="F34" s="21"/>
      <c r="G34" s="21"/>
      <c r="H34" s="83"/>
      <c r="I34" s="21"/>
    </row>
    <row r="35" spans="1:9" ht="52.5" customHeight="1" x14ac:dyDescent="0.2">
      <c r="B35" s="205" t="s">
        <v>6</v>
      </c>
      <c r="C35" s="205"/>
      <c r="D35" s="205"/>
      <c r="E35" s="205"/>
      <c r="F35" s="205"/>
      <c r="G35" s="205"/>
      <c r="H35" s="205"/>
      <c r="I35" s="205"/>
    </row>
    <row r="36" spans="1:9" ht="31.5" x14ac:dyDescent="0.25">
      <c r="B36" s="87" t="s">
        <v>7</v>
      </c>
      <c r="C36" s="87"/>
      <c r="D36" s="21"/>
      <c r="E36" s="21"/>
      <c r="F36" s="21"/>
      <c r="G36" s="21"/>
      <c r="H36" s="21"/>
      <c r="I36" s="88"/>
    </row>
    <row r="38" spans="1:9" ht="15.75" x14ac:dyDescent="0.25">
      <c r="A38" s="89"/>
      <c r="B38" s="89"/>
      <c r="C38" s="89"/>
      <c r="D38" s="89"/>
      <c r="E38" s="89"/>
      <c r="F38" s="89"/>
      <c r="G38" s="89"/>
    </row>
    <row r="39" spans="1:9" ht="15.75" x14ac:dyDescent="0.25">
      <c r="A39" s="89"/>
      <c r="B39" s="89"/>
      <c r="C39" s="89"/>
      <c r="D39" s="89"/>
      <c r="E39" s="89"/>
      <c r="F39" s="89"/>
      <c r="G39" s="89"/>
    </row>
    <row r="40" spans="1:9" ht="15.75" x14ac:dyDescent="0.25">
      <c r="A40" s="89"/>
      <c r="B40" s="89"/>
      <c r="C40" s="89"/>
      <c r="D40" s="89"/>
      <c r="E40" s="89"/>
      <c r="F40" s="89"/>
      <c r="G40" s="89"/>
    </row>
    <row r="41" spans="1:9" ht="15.75" x14ac:dyDescent="0.25">
      <c r="A41" s="89"/>
      <c r="B41" s="89"/>
      <c r="C41" s="89"/>
      <c r="D41" s="89"/>
      <c r="E41" s="89"/>
      <c r="F41" s="89"/>
      <c r="G41" s="89"/>
    </row>
    <row r="42" spans="1:9" ht="15.75" x14ac:dyDescent="0.25">
      <c r="A42" s="89"/>
      <c r="B42" s="90" t="s">
        <v>128</v>
      </c>
      <c r="C42" s="89"/>
      <c r="D42" s="89"/>
      <c r="E42" s="89"/>
      <c r="F42" s="89"/>
      <c r="G42" s="89"/>
    </row>
    <row r="43" spans="1:9" ht="16.5" thickBot="1" x14ac:dyDescent="0.3">
      <c r="A43" s="89"/>
      <c r="B43" s="89"/>
      <c r="C43" s="89"/>
      <c r="D43" s="89"/>
      <c r="E43" s="89"/>
      <c r="F43" s="89"/>
      <c r="G43" s="89"/>
    </row>
    <row r="44" spans="1:9" ht="110.25" x14ac:dyDescent="0.25">
      <c r="A44" s="89"/>
      <c r="B44" s="91"/>
      <c r="C44" s="92" t="s">
        <v>129</v>
      </c>
      <c r="D44" s="92" t="s">
        <v>130</v>
      </c>
      <c r="E44" s="93" t="s">
        <v>131</v>
      </c>
    </row>
    <row r="45" spans="1:9" ht="48" thickBot="1" x14ac:dyDescent="0.3">
      <c r="A45" s="89"/>
      <c r="B45" s="94" t="s">
        <v>132</v>
      </c>
      <c r="C45" s="95">
        <f>D7</f>
        <v>44832</v>
      </c>
      <c r="D45" s="95">
        <v>750</v>
      </c>
      <c r="E45" s="96">
        <f>ROUND((C45/D45),0)</f>
        <v>60</v>
      </c>
    </row>
    <row r="46" spans="1:9" ht="15.75" x14ac:dyDescent="0.25">
      <c r="A46" s="89"/>
      <c r="B46" s="89"/>
      <c r="C46" s="89"/>
      <c r="D46" s="89"/>
      <c r="E46" s="89"/>
      <c r="F46" s="89"/>
      <c r="G46" s="89"/>
    </row>
    <row r="47" spans="1:9" ht="15.75" x14ac:dyDescent="0.25">
      <c r="A47" s="89"/>
      <c r="B47" s="89"/>
      <c r="C47" s="89"/>
      <c r="D47" s="89"/>
      <c r="E47" s="89"/>
      <c r="F47" s="89"/>
      <c r="G47" s="89"/>
    </row>
    <row r="48" spans="1:9" ht="15.75" x14ac:dyDescent="0.25">
      <c r="A48" s="89"/>
      <c r="B48" s="89"/>
      <c r="C48" s="89"/>
      <c r="D48" s="89"/>
      <c r="E48" s="89"/>
      <c r="F48" s="89"/>
      <c r="G48" s="89"/>
    </row>
    <row r="49" spans="1:7" ht="15.75" x14ac:dyDescent="0.25">
      <c r="A49" s="89"/>
      <c r="B49" s="89"/>
      <c r="C49" s="89"/>
      <c r="D49" s="89"/>
      <c r="E49" s="89"/>
      <c r="F49" s="89"/>
      <c r="G49" s="89"/>
    </row>
    <row r="50" spans="1:7" ht="15.75" x14ac:dyDescent="0.25">
      <c r="A50" s="89"/>
      <c r="B50" s="89"/>
      <c r="C50" s="89"/>
      <c r="D50" s="89"/>
      <c r="E50" s="89"/>
      <c r="F50" s="89"/>
      <c r="G50" s="89"/>
    </row>
    <row r="51" spans="1:7" ht="15.75" x14ac:dyDescent="0.25">
      <c r="A51" s="89"/>
      <c r="B51" s="89"/>
      <c r="C51" s="89"/>
      <c r="D51" s="89"/>
      <c r="E51" s="89"/>
      <c r="F51" s="89"/>
      <c r="G51" s="89"/>
    </row>
    <row r="52" spans="1:7" ht="15.75" x14ac:dyDescent="0.25">
      <c r="A52" s="89"/>
      <c r="B52" s="89"/>
      <c r="C52" s="89"/>
      <c r="D52" s="89"/>
      <c r="E52" s="89"/>
      <c r="F52" s="89"/>
      <c r="G52" s="89"/>
    </row>
    <row r="53" spans="1:7" ht="15.75" x14ac:dyDescent="0.25">
      <c r="A53" s="89"/>
      <c r="B53" s="89"/>
      <c r="C53" s="89"/>
      <c r="D53" s="89"/>
      <c r="E53" s="89"/>
      <c r="F53" s="89"/>
      <c r="G53" s="89"/>
    </row>
    <row r="54" spans="1:7" ht="15.75" x14ac:dyDescent="0.25">
      <c r="A54" s="89"/>
      <c r="B54" s="89"/>
      <c r="C54" s="89"/>
      <c r="D54" s="89"/>
      <c r="E54" s="89"/>
      <c r="F54" s="89"/>
      <c r="G54" s="89"/>
    </row>
    <row r="55" spans="1:7" ht="15.75" x14ac:dyDescent="0.25">
      <c r="A55" s="89"/>
      <c r="B55" s="89"/>
      <c r="C55" s="89"/>
      <c r="D55" s="89"/>
      <c r="E55" s="89"/>
      <c r="F55" s="89"/>
      <c r="G55" s="89"/>
    </row>
    <row r="56" spans="1:7" ht="15.75" x14ac:dyDescent="0.25">
      <c r="A56" s="89"/>
      <c r="B56" s="89"/>
      <c r="C56" s="89"/>
      <c r="D56" s="89"/>
      <c r="E56" s="89"/>
      <c r="F56" s="89"/>
      <c r="G56" s="89"/>
    </row>
    <row r="57" spans="1:7" ht="15.75" x14ac:dyDescent="0.25">
      <c r="A57" s="89"/>
      <c r="B57" s="89"/>
      <c r="C57" s="89"/>
      <c r="D57" s="89"/>
      <c r="E57" s="89"/>
      <c r="F57" s="89"/>
      <c r="G57" s="89"/>
    </row>
    <row r="58" spans="1:7" ht="15.75" x14ac:dyDescent="0.25">
      <c r="A58" s="89"/>
      <c r="B58" s="89"/>
      <c r="C58" s="89"/>
      <c r="D58" s="89"/>
      <c r="E58" s="89"/>
      <c r="F58" s="89"/>
      <c r="G58" s="89"/>
    </row>
    <row r="59" spans="1:7" ht="15.75" x14ac:dyDescent="0.25">
      <c r="A59" s="89"/>
      <c r="B59" s="89"/>
      <c r="C59" s="89"/>
      <c r="D59" s="89"/>
      <c r="E59" s="89"/>
      <c r="F59" s="89"/>
      <c r="G59" s="89"/>
    </row>
    <row r="60" spans="1:7" ht="15.75" x14ac:dyDescent="0.25">
      <c r="A60" s="89"/>
      <c r="B60" s="89"/>
      <c r="C60" s="89"/>
      <c r="D60" s="89"/>
      <c r="E60" s="89"/>
      <c r="F60" s="89"/>
      <c r="G60" s="89"/>
    </row>
    <row r="61" spans="1:7" ht="15.75" x14ac:dyDescent="0.25">
      <c r="A61" s="89"/>
      <c r="B61" s="89"/>
      <c r="C61" s="89"/>
      <c r="D61" s="89"/>
      <c r="E61" s="89"/>
      <c r="F61" s="89"/>
      <c r="G61" s="89"/>
    </row>
    <row r="62" spans="1:7" ht="15.75" x14ac:dyDescent="0.25">
      <c r="A62" s="89"/>
      <c r="B62" s="89"/>
      <c r="C62" s="89"/>
      <c r="D62" s="89"/>
      <c r="E62" s="89"/>
      <c r="F62" s="89"/>
      <c r="G62" s="89"/>
    </row>
    <row r="63" spans="1:7" ht="15.75" x14ac:dyDescent="0.25">
      <c r="A63" s="89"/>
      <c r="B63" s="89"/>
      <c r="C63" s="89"/>
      <c r="D63" s="89"/>
      <c r="E63" s="89"/>
      <c r="F63" s="89"/>
      <c r="G63" s="89"/>
    </row>
    <row r="64" spans="1:7" ht="15.75" x14ac:dyDescent="0.25">
      <c r="A64" s="89"/>
      <c r="B64" s="89"/>
      <c r="C64" s="89"/>
      <c r="D64" s="89"/>
      <c r="E64" s="89"/>
      <c r="F64" s="89"/>
      <c r="G64" s="89"/>
    </row>
    <row r="65" spans="1:7" ht="15.75" x14ac:dyDescent="0.25">
      <c r="A65" s="89"/>
      <c r="B65" s="89"/>
      <c r="C65" s="89"/>
      <c r="D65" s="89"/>
      <c r="E65" s="89"/>
      <c r="F65" s="89"/>
      <c r="G65" s="89"/>
    </row>
    <row r="66" spans="1:7" ht="15.75" x14ac:dyDescent="0.25">
      <c r="A66" s="89"/>
      <c r="B66" s="89"/>
      <c r="C66" s="89"/>
      <c r="D66" s="89"/>
      <c r="E66" s="89"/>
      <c r="F66" s="89"/>
      <c r="G66" s="89"/>
    </row>
    <row r="67" spans="1:7" ht="15.75" x14ac:dyDescent="0.25">
      <c r="A67" s="89"/>
      <c r="B67" s="89"/>
      <c r="C67" s="89"/>
      <c r="D67" s="89"/>
      <c r="E67" s="89"/>
      <c r="F67" s="89"/>
      <c r="G67" s="89"/>
    </row>
    <row r="68" spans="1:7" ht="15.75" x14ac:dyDescent="0.25">
      <c r="A68" s="89"/>
      <c r="B68" s="89"/>
      <c r="C68" s="89"/>
      <c r="D68" s="89"/>
      <c r="E68" s="89"/>
      <c r="F68" s="89"/>
      <c r="G68" s="89"/>
    </row>
    <row r="69" spans="1:7" ht="15.75" x14ac:dyDescent="0.25">
      <c r="A69" s="89"/>
      <c r="B69" s="89"/>
      <c r="C69" s="89"/>
      <c r="D69" s="89"/>
      <c r="E69" s="89"/>
      <c r="F69" s="89"/>
      <c r="G69" s="89"/>
    </row>
    <row r="70" spans="1:7" ht="15.75" x14ac:dyDescent="0.25">
      <c r="A70" s="89"/>
      <c r="B70" s="89"/>
      <c r="C70" s="89"/>
      <c r="D70" s="89"/>
      <c r="E70" s="89"/>
      <c r="F70" s="89"/>
      <c r="G70" s="89"/>
    </row>
    <row r="71" spans="1:7" ht="15.75" x14ac:dyDescent="0.25">
      <c r="A71" s="89"/>
      <c r="B71" s="89"/>
      <c r="C71" s="89"/>
      <c r="D71" s="89"/>
      <c r="E71" s="89"/>
      <c r="F71" s="89"/>
      <c r="G71" s="89"/>
    </row>
    <row r="72" spans="1:7" ht="15.75" x14ac:dyDescent="0.25">
      <c r="A72" s="89"/>
      <c r="B72" s="89"/>
      <c r="C72" s="89"/>
      <c r="D72" s="89"/>
      <c r="E72" s="89"/>
      <c r="F72" s="89"/>
      <c r="G72" s="89"/>
    </row>
    <row r="73" spans="1:7" ht="15.75" x14ac:dyDescent="0.25">
      <c r="A73" s="89"/>
      <c r="B73" s="89"/>
      <c r="C73" s="89"/>
      <c r="D73" s="89"/>
      <c r="E73" s="89"/>
      <c r="F73" s="89"/>
      <c r="G73" s="89"/>
    </row>
    <row r="74" spans="1:7" ht="15.75" x14ac:dyDescent="0.25">
      <c r="A74" s="89"/>
      <c r="B74" s="89"/>
      <c r="C74" s="89"/>
      <c r="D74" s="89"/>
      <c r="E74" s="89"/>
      <c r="F74" s="89"/>
      <c r="G74" s="89"/>
    </row>
    <row r="75" spans="1:7" ht="15.75" x14ac:dyDescent="0.25">
      <c r="A75" s="89"/>
      <c r="B75" s="89"/>
      <c r="C75" s="89"/>
      <c r="D75" s="89"/>
      <c r="E75" s="89"/>
      <c r="F75" s="89"/>
      <c r="G75" s="89"/>
    </row>
    <row r="76" spans="1:7" ht="15.75" x14ac:dyDescent="0.25">
      <c r="A76" s="89"/>
      <c r="B76" s="89"/>
      <c r="C76" s="89"/>
      <c r="D76" s="89"/>
      <c r="E76" s="89"/>
      <c r="F76" s="89"/>
      <c r="G76" s="89"/>
    </row>
    <row r="77" spans="1:7" ht="15.75" x14ac:dyDescent="0.25">
      <c r="A77" s="89"/>
      <c r="B77" s="89"/>
      <c r="C77" s="89"/>
      <c r="D77" s="89"/>
      <c r="E77" s="89"/>
      <c r="F77" s="89"/>
      <c r="G77" s="89"/>
    </row>
    <row r="78" spans="1:7" ht="15.75" x14ac:dyDescent="0.25">
      <c r="A78" s="89"/>
      <c r="B78" s="89"/>
      <c r="C78" s="89"/>
      <c r="D78" s="89"/>
      <c r="E78" s="89"/>
      <c r="F78" s="89"/>
      <c r="G78" s="89"/>
    </row>
    <row r="79" spans="1:7" ht="15.75" x14ac:dyDescent="0.25">
      <c r="A79" s="89"/>
      <c r="B79" s="89"/>
      <c r="C79" s="89"/>
      <c r="D79" s="89"/>
      <c r="E79" s="89"/>
      <c r="F79" s="89"/>
      <c r="G79" s="89"/>
    </row>
    <row r="80" spans="1:7" ht="15.75" x14ac:dyDescent="0.25">
      <c r="A80" s="89"/>
      <c r="B80" s="89"/>
      <c r="C80" s="89"/>
      <c r="D80" s="89"/>
      <c r="E80" s="89"/>
      <c r="F80" s="89"/>
      <c r="G80" s="89"/>
    </row>
    <row r="81" spans="1:7" ht="15.75" x14ac:dyDescent="0.25">
      <c r="A81" s="89"/>
      <c r="B81" s="89"/>
      <c r="C81" s="89"/>
      <c r="D81" s="89"/>
      <c r="E81" s="89"/>
      <c r="F81" s="89"/>
      <c r="G81" s="89"/>
    </row>
    <row r="82" spans="1:7" ht="15.75" x14ac:dyDescent="0.25">
      <c r="A82" s="89"/>
      <c r="B82" s="89"/>
      <c r="C82" s="89"/>
      <c r="D82" s="89"/>
      <c r="E82" s="89"/>
      <c r="F82" s="89"/>
      <c r="G82" s="89"/>
    </row>
    <row r="83" spans="1:7" ht="15.75" x14ac:dyDescent="0.25">
      <c r="A83" s="89"/>
      <c r="B83" s="89"/>
      <c r="C83" s="89"/>
      <c r="D83" s="89"/>
      <c r="E83" s="89"/>
      <c r="F83" s="89"/>
      <c r="G83" s="89"/>
    </row>
    <row r="84" spans="1:7" ht="15.75" x14ac:dyDescent="0.25">
      <c r="A84" s="89"/>
      <c r="B84" s="89"/>
      <c r="C84" s="89"/>
      <c r="D84" s="89"/>
      <c r="E84" s="89"/>
      <c r="F84" s="89"/>
      <c r="G84" s="89"/>
    </row>
    <row r="85" spans="1:7" ht="15.75" x14ac:dyDescent="0.25">
      <c r="A85" s="89"/>
      <c r="B85" s="89"/>
      <c r="C85" s="89"/>
      <c r="D85" s="89"/>
      <c r="E85" s="89"/>
      <c r="F85" s="89"/>
      <c r="G85" s="89"/>
    </row>
    <row r="86" spans="1:7" ht="15.75" x14ac:dyDescent="0.25">
      <c r="A86" s="89"/>
      <c r="B86" s="89"/>
      <c r="C86" s="89"/>
      <c r="D86" s="89"/>
      <c r="E86" s="89"/>
      <c r="F86" s="89"/>
      <c r="G86" s="89"/>
    </row>
    <row r="87" spans="1:7" ht="15.75" x14ac:dyDescent="0.25">
      <c r="A87" s="89"/>
      <c r="B87" s="89"/>
      <c r="C87" s="89"/>
      <c r="D87" s="89"/>
      <c r="E87" s="89"/>
      <c r="F87" s="89"/>
      <c r="G87" s="89"/>
    </row>
    <row r="88" spans="1:7" ht="15.75" x14ac:dyDescent="0.25">
      <c r="A88" s="89"/>
      <c r="B88" s="89"/>
      <c r="C88" s="89"/>
      <c r="D88" s="89"/>
      <c r="E88" s="89"/>
      <c r="F88" s="89"/>
      <c r="G88" s="89"/>
    </row>
    <row r="89" spans="1:7" ht="15.75" x14ac:dyDescent="0.25">
      <c r="A89" s="89"/>
      <c r="B89" s="89"/>
      <c r="C89" s="89"/>
      <c r="D89" s="89"/>
      <c r="E89" s="89"/>
      <c r="F89" s="89"/>
      <c r="G89" s="89"/>
    </row>
    <row r="90" spans="1:7" ht="15.75" x14ac:dyDescent="0.25">
      <c r="A90" s="89"/>
      <c r="B90" s="89"/>
      <c r="C90" s="89"/>
      <c r="D90" s="89"/>
      <c r="E90" s="89"/>
      <c r="F90" s="89"/>
      <c r="G90" s="89"/>
    </row>
    <row r="91" spans="1:7" ht="15.75" x14ac:dyDescent="0.25">
      <c r="A91" s="89"/>
      <c r="B91" s="89"/>
      <c r="C91" s="89"/>
      <c r="D91" s="89"/>
      <c r="E91" s="89"/>
      <c r="F91" s="89"/>
      <c r="G91" s="89"/>
    </row>
    <row r="92" spans="1:7" ht="15.75" x14ac:dyDescent="0.25">
      <c r="A92" s="89"/>
      <c r="B92" s="89"/>
      <c r="C92" s="89"/>
      <c r="D92" s="89"/>
      <c r="E92" s="89"/>
      <c r="F92" s="89"/>
      <c r="G92" s="89"/>
    </row>
    <row r="93" spans="1:7" ht="15.75" x14ac:dyDescent="0.25">
      <c r="A93" s="89"/>
      <c r="B93" s="89"/>
      <c r="C93" s="89"/>
      <c r="D93" s="89"/>
      <c r="E93" s="89"/>
      <c r="F93" s="89"/>
      <c r="G93" s="89"/>
    </row>
    <row r="94" spans="1:7" ht="15.75" x14ac:dyDescent="0.25">
      <c r="A94" s="89"/>
      <c r="B94" s="89"/>
      <c r="C94" s="89"/>
      <c r="D94" s="89"/>
      <c r="E94" s="89"/>
      <c r="F94" s="89"/>
      <c r="G94" s="89"/>
    </row>
    <row r="95" spans="1:7" ht="15.75" x14ac:dyDescent="0.25">
      <c r="A95" s="89"/>
      <c r="B95" s="89"/>
      <c r="C95" s="89"/>
      <c r="D95" s="89"/>
      <c r="E95" s="89"/>
      <c r="F95" s="89"/>
      <c r="G95" s="89"/>
    </row>
    <row r="96" spans="1:7" ht="15.75" x14ac:dyDescent="0.25">
      <c r="A96" s="89"/>
      <c r="B96" s="89"/>
      <c r="C96" s="89"/>
      <c r="D96" s="89"/>
      <c r="E96" s="89"/>
      <c r="F96" s="89"/>
      <c r="G96" s="89"/>
    </row>
    <row r="97" spans="1:7" ht="15.75" x14ac:dyDescent="0.25">
      <c r="A97" s="89"/>
      <c r="B97" s="89"/>
      <c r="C97" s="89"/>
      <c r="D97" s="89"/>
      <c r="E97" s="89"/>
      <c r="F97" s="89"/>
      <c r="G97" s="89"/>
    </row>
    <row r="98" spans="1:7" ht="15.75" x14ac:dyDescent="0.25">
      <c r="A98" s="89"/>
      <c r="B98" s="89"/>
      <c r="C98" s="89"/>
      <c r="D98" s="89"/>
      <c r="E98" s="89"/>
      <c r="F98" s="89"/>
      <c r="G98" s="89"/>
    </row>
    <row r="99" spans="1:7" ht="15.75" x14ac:dyDescent="0.25">
      <c r="A99" s="89"/>
      <c r="B99" s="89"/>
      <c r="C99" s="89"/>
      <c r="D99" s="89"/>
      <c r="E99" s="89"/>
      <c r="F99" s="89"/>
      <c r="G99" s="89"/>
    </row>
    <row r="100" spans="1:7" ht="15.75" x14ac:dyDescent="0.25">
      <c r="A100" s="89"/>
      <c r="B100" s="89"/>
      <c r="C100" s="89"/>
      <c r="D100" s="89"/>
      <c r="E100" s="89"/>
      <c r="F100" s="89"/>
      <c r="G100" s="89"/>
    </row>
    <row r="101" spans="1:7" ht="15.75" x14ac:dyDescent="0.25">
      <c r="A101" s="89"/>
      <c r="B101" s="89"/>
      <c r="C101" s="89"/>
      <c r="D101" s="89"/>
      <c r="E101" s="89"/>
      <c r="F101" s="89"/>
      <c r="G101" s="89"/>
    </row>
    <row r="102" spans="1:7" ht="15.75" x14ac:dyDescent="0.25">
      <c r="A102" s="89"/>
      <c r="B102" s="89"/>
      <c r="C102" s="89"/>
      <c r="D102" s="89"/>
      <c r="E102" s="89"/>
      <c r="F102" s="89"/>
      <c r="G102" s="89"/>
    </row>
    <row r="103" spans="1:7" ht="15.75" x14ac:dyDescent="0.25">
      <c r="A103" s="89"/>
      <c r="B103" s="89"/>
      <c r="C103" s="89"/>
      <c r="D103" s="89"/>
      <c r="E103" s="89"/>
      <c r="F103" s="89"/>
      <c r="G103" s="89"/>
    </row>
    <row r="104" spans="1:7" ht="15.75" x14ac:dyDescent="0.25">
      <c r="A104" s="89"/>
      <c r="B104" s="89"/>
      <c r="C104" s="89"/>
      <c r="D104" s="89"/>
      <c r="E104" s="89"/>
      <c r="F104" s="89"/>
      <c r="G104" s="89"/>
    </row>
    <row r="105" spans="1:7" ht="15.75" x14ac:dyDescent="0.25">
      <c r="A105" s="89"/>
      <c r="B105" s="89"/>
      <c r="C105" s="89"/>
      <c r="D105" s="89"/>
      <c r="E105" s="89"/>
      <c r="F105" s="89"/>
      <c r="G105" s="89"/>
    </row>
    <row r="106" spans="1:7" ht="15.75" x14ac:dyDescent="0.25">
      <c r="A106" s="89"/>
      <c r="B106" s="89"/>
      <c r="C106" s="89"/>
      <c r="D106" s="89"/>
      <c r="E106" s="89"/>
      <c r="F106" s="89"/>
      <c r="G106" s="89"/>
    </row>
    <row r="107" spans="1:7" ht="15.75" x14ac:dyDescent="0.25">
      <c r="A107" s="89"/>
      <c r="B107" s="89"/>
      <c r="C107" s="89"/>
      <c r="D107" s="89"/>
      <c r="E107" s="89"/>
      <c r="F107" s="89"/>
      <c r="G107" s="89"/>
    </row>
    <row r="108" spans="1:7" ht="15.75" x14ac:dyDescent="0.25">
      <c r="A108" s="89"/>
      <c r="B108" s="89"/>
      <c r="C108" s="89"/>
      <c r="D108" s="89"/>
      <c r="E108" s="89"/>
      <c r="F108" s="89"/>
      <c r="G108" s="89"/>
    </row>
    <row r="109" spans="1:7" ht="15.75" x14ac:dyDescent="0.25">
      <c r="A109" s="89"/>
      <c r="B109" s="89"/>
      <c r="C109" s="89"/>
      <c r="D109" s="89"/>
      <c r="E109" s="89"/>
      <c r="F109" s="89"/>
      <c r="G109" s="89"/>
    </row>
    <row r="110" spans="1:7" ht="15.75" x14ac:dyDescent="0.25">
      <c r="A110" s="89"/>
      <c r="B110" s="89"/>
      <c r="C110" s="89"/>
      <c r="D110" s="89"/>
      <c r="E110" s="89"/>
      <c r="F110" s="89"/>
      <c r="G110" s="89"/>
    </row>
    <row r="111" spans="1:7" ht="15.75" x14ac:dyDescent="0.25">
      <c r="A111" s="89"/>
      <c r="B111" s="89"/>
      <c r="C111" s="89"/>
      <c r="D111" s="89"/>
      <c r="E111" s="89"/>
      <c r="F111" s="89"/>
      <c r="G111" s="89"/>
    </row>
    <row r="112" spans="1:7" ht="15.75" x14ac:dyDescent="0.25">
      <c r="A112" s="89"/>
      <c r="B112" s="89"/>
      <c r="C112" s="89"/>
      <c r="D112" s="89"/>
      <c r="E112" s="89"/>
      <c r="F112" s="89"/>
      <c r="G112" s="89"/>
    </row>
    <row r="113" spans="1:7" ht="15.75" x14ac:dyDescent="0.25">
      <c r="A113" s="89"/>
      <c r="B113" s="89"/>
      <c r="C113" s="89"/>
      <c r="D113" s="89"/>
      <c r="E113" s="89"/>
      <c r="F113" s="89"/>
      <c r="G113" s="89"/>
    </row>
    <row r="114" spans="1:7" ht="15.75" x14ac:dyDescent="0.25">
      <c r="A114" s="89"/>
      <c r="B114" s="89"/>
      <c r="C114" s="89"/>
      <c r="D114" s="89"/>
      <c r="E114" s="89"/>
      <c r="F114" s="89"/>
      <c r="G114" s="89"/>
    </row>
    <row r="115" spans="1:7" ht="15.75" x14ac:dyDescent="0.25">
      <c r="A115" s="89"/>
      <c r="B115" s="89"/>
      <c r="C115" s="89"/>
      <c r="D115" s="89"/>
      <c r="E115" s="89"/>
      <c r="F115" s="89"/>
      <c r="G115" s="89"/>
    </row>
    <row r="116" spans="1:7" ht="15.75" x14ac:dyDescent="0.25">
      <c r="A116" s="89"/>
      <c r="B116" s="89"/>
      <c r="C116" s="89"/>
      <c r="D116" s="89"/>
      <c r="E116" s="89"/>
      <c r="F116" s="89"/>
      <c r="G116" s="89"/>
    </row>
    <row r="117" spans="1:7" ht="15.75" x14ac:dyDescent="0.25">
      <c r="A117" s="89"/>
      <c r="B117" s="89"/>
      <c r="C117" s="89"/>
      <c r="D117" s="89"/>
      <c r="E117" s="89"/>
      <c r="F117" s="89"/>
      <c r="G117" s="89"/>
    </row>
    <row r="118" spans="1:7" ht="15.75" x14ac:dyDescent="0.25">
      <c r="A118" s="89"/>
      <c r="B118" s="89"/>
      <c r="C118" s="89"/>
      <c r="D118" s="89"/>
      <c r="E118" s="89"/>
      <c r="F118" s="89"/>
      <c r="G118" s="89"/>
    </row>
    <row r="119" spans="1:7" ht="15.75" x14ac:dyDescent="0.25">
      <c r="A119" s="89"/>
      <c r="B119" s="89"/>
      <c r="C119" s="89"/>
      <c r="D119" s="89"/>
      <c r="E119" s="89"/>
      <c r="F119" s="89"/>
      <c r="G119" s="89"/>
    </row>
    <row r="120" spans="1:7" ht="15.75" x14ac:dyDescent="0.25">
      <c r="A120" s="89"/>
      <c r="B120" s="89"/>
      <c r="C120" s="89"/>
      <c r="D120" s="89"/>
      <c r="E120" s="89"/>
      <c r="F120" s="89"/>
      <c r="G120" s="89"/>
    </row>
    <row r="121" spans="1:7" ht="15.75" x14ac:dyDescent="0.25">
      <c r="A121" s="89"/>
      <c r="B121" s="89"/>
      <c r="C121" s="89"/>
      <c r="D121" s="89"/>
      <c r="E121" s="89"/>
      <c r="F121" s="89"/>
      <c r="G121" s="89"/>
    </row>
  </sheetData>
  <mergeCells count="4">
    <mergeCell ref="A2:G2"/>
    <mergeCell ref="A3:G3"/>
    <mergeCell ref="G17:G27"/>
    <mergeCell ref="B35:I35"/>
  </mergeCells>
  <hyperlinks>
    <hyperlink ref="B35" r:id="rId1" xr:uid="{1B7BA692-D2C2-4EB5-A4A3-77D5DC615B29}"/>
  </hyperlinks>
  <pageMargins left="0.7" right="0.7" top="0.75" bottom="0.75" header="0.3" footer="0.3"/>
  <pageSetup paperSize="9" scale="36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9D980-758E-4841-A19C-D552BEB4BCC5}">
  <sheetPr>
    <tabColor theme="6" tint="0.39997558519241921"/>
  </sheetPr>
  <dimension ref="A1:S53"/>
  <sheetViews>
    <sheetView zoomScale="75" zoomScaleNormal="75" zoomScaleSheetLayoutView="100" workbookViewId="0">
      <selection activeCell="A5" sqref="A5:J5"/>
    </sheetView>
  </sheetViews>
  <sheetFormatPr defaultColWidth="9.140625" defaultRowHeight="15" x14ac:dyDescent="0.25"/>
  <cols>
    <col min="1" max="1" width="47.140625" style="97" customWidth="1"/>
    <col min="2" max="2" width="14.7109375" style="97" customWidth="1"/>
    <col min="3" max="3" width="17.5703125" style="97" customWidth="1"/>
    <col min="4" max="4" width="15" style="97" customWidth="1"/>
    <col min="5" max="5" width="20.140625" style="97" customWidth="1"/>
    <col min="6" max="6" width="18.42578125" style="97" customWidth="1"/>
    <col min="7" max="7" width="14.5703125" style="97" customWidth="1"/>
    <col min="8" max="8" width="30" style="97" customWidth="1"/>
    <col min="9" max="9" width="28.42578125" style="97" customWidth="1"/>
    <col min="10" max="10" width="23" style="97" customWidth="1"/>
    <col min="11" max="11" width="9.28515625" style="97" customWidth="1"/>
    <col min="12" max="12" width="17" style="97" hidden="1" customWidth="1"/>
    <col min="13" max="19" width="9.140625" style="97" hidden="1" customWidth="1"/>
    <col min="20" max="16384" width="9.140625" style="97"/>
  </cols>
  <sheetData>
    <row r="1" spans="1:19" ht="18.75" x14ac:dyDescent="0.25">
      <c r="I1" s="43" t="s">
        <v>158</v>
      </c>
      <c r="J1" s="43"/>
    </row>
    <row r="2" spans="1:19" ht="18.75" x14ac:dyDescent="0.3">
      <c r="A2" s="9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9" ht="42.75" customHeight="1" x14ac:dyDescent="0.3">
      <c r="A3" s="209" t="s">
        <v>133</v>
      </c>
      <c r="B3" s="209"/>
      <c r="C3" s="209"/>
      <c r="D3" s="209"/>
      <c r="E3" s="209"/>
      <c r="F3" s="209"/>
      <c r="G3" s="209"/>
      <c r="H3" s="209"/>
      <c r="I3" s="209"/>
      <c r="J3" s="209"/>
      <c r="K3" s="98"/>
      <c r="L3" s="98" t="s">
        <v>26</v>
      </c>
      <c r="M3" s="98"/>
      <c r="N3" s="98"/>
    </row>
    <row r="4" spans="1:19" ht="18.75" x14ac:dyDescent="0.3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>
        <v>2019</v>
      </c>
      <c r="M4" s="98">
        <v>2020</v>
      </c>
      <c r="N4" s="98">
        <v>2021</v>
      </c>
      <c r="O4" s="98">
        <v>2022</v>
      </c>
      <c r="P4" s="98">
        <v>2023</v>
      </c>
      <c r="Q4" s="98">
        <v>2024</v>
      </c>
      <c r="R4" s="98">
        <v>2025</v>
      </c>
      <c r="S4" s="98">
        <v>2026</v>
      </c>
    </row>
    <row r="5" spans="1:19" ht="72" customHeight="1" x14ac:dyDescent="0.3">
      <c r="A5" s="210" t="s">
        <v>36</v>
      </c>
      <c r="B5" s="210"/>
      <c r="C5" s="210"/>
      <c r="D5" s="210"/>
      <c r="E5" s="210"/>
      <c r="F5" s="210"/>
      <c r="G5" s="210"/>
      <c r="H5" s="210"/>
      <c r="I5" s="210"/>
      <c r="J5" s="210"/>
      <c r="K5" s="98"/>
      <c r="L5" s="98">
        <v>4.5</v>
      </c>
      <c r="M5" s="98">
        <v>3.2</v>
      </c>
      <c r="N5" s="98">
        <v>3.6</v>
      </c>
      <c r="O5" s="98">
        <v>3.9</v>
      </c>
      <c r="P5" s="98">
        <v>4</v>
      </c>
      <c r="Q5" s="98">
        <v>4</v>
      </c>
      <c r="R5" s="98">
        <v>4</v>
      </c>
      <c r="S5" s="98">
        <v>4</v>
      </c>
    </row>
    <row r="6" spans="1:19" ht="19.5" thickBot="1" x14ac:dyDescent="0.35">
      <c r="A6" s="99"/>
      <c r="B6" s="99"/>
      <c r="C6" s="99"/>
      <c r="D6" s="99"/>
      <c r="E6" s="99"/>
      <c r="F6" s="99"/>
      <c r="G6" s="99"/>
      <c r="H6" s="99"/>
      <c r="I6" s="99"/>
      <c r="J6" s="99"/>
      <c r="K6" s="98"/>
      <c r="L6" s="98"/>
      <c r="M6" s="98"/>
      <c r="N6" s="98"/>
    </row>
    <row r="7" spans="1:19" ht="23.25" thickBot="1" x14ac:dyDescent="0.35">
      <c r="A7" s="211" t="s">
        <v>37</v>
      </c>
      <c r="B7" s="212"/>
      <c r="C7" s="212"/>
      <c r="D7" s="212"/>
      <c r="E7" s="212"/>
      <c r="F7" s="212"/>
      <c r="G7" s="212"/>
      <c r="H7" s="212"/>
      <c r="I7" s="212"/>
      <c r="J7" s="213"/>
      <c r="K7" s="98"/>
      <c r="L7" s="98"/>
      <c r="M7" s="98"/>
      <c r="N7" s="98"/>
    </row>
    <row r="8" spans="1:19" ht="150.75" customHeight="1" x14ac:dyDescent="0.3">
      <c r="A8" s="100" t="s">
        <v>27</v>
      </c>
      <c r="B8" s="101" t="s">
        <v>28</v>
      </c>
      <c r="C8" s="101" t="s">
        <v>29</v>
      </c>
      <c r="D8" s="101" t="s">
        <v>30</v>
      </c>
      <c r="E8" s="101" t="s">
        <v>31</v>
      </c>
      <c r="F8" s="101" t="s">
        <v>32</v>
      </c>
      <c r="G8" s="101" t="s">
        <v>33</v>
      </c>
      <c r="H8" s="101" t="s">
        <v>64</v>
      </c>
      <c r="I8" s="101" t="s">
        <v>39</v>
      </c>
      <c r="J8" s="102" t="s">
        <v>34</v>
      </c>
      <c r="K8" s="98"/>
      <c r="L8" s="98"/>
      <c r="M8" s="98"/>
    </row>
    <row r="9" spans="1:19" ht="18.75" x14ac:dyDescent="0.3">
      <c r="A9" s="103"/>
      <c r="B9" s="104"/>
      <c r="C9" s="104"/>
      <c r="D9" s="104"/>
      <c r="E9" s="104"/>
      <c r="F9" s="104"/>
      <c r="G9" s="104"/>
      <c r="H9" s="104"/>
      <c r="I9" s="104"/>
      <c r="J9" s="105"/>
      <c r="K9" s="98"/>
      <c r="L9" s="106"/>
      <c r="M9" s="98"/>
    </row>
    <row r="10" spans="1:19" ht="37.5" x14ac:dyDescent="0.3">
      <c r="A10" s="107" t="s">
        <v>50</v>
      </c>
      <c r="B10" s="104"/>
      <c r="C10" s="104"/>
      <c r="D10" s="104"/>
      <c r="E10" s="132"/>
      <c r="F10" s="132"/>
      <c r="G10" s="108">
        <f>G11</f>
        <v>44832</v>
      </c>
      <c r="H10" s="109">
        <f>H11</f>
        <v>2614266</v>
      </c>
      <c r="I10" s="154"/>
      <c r="J10" s="110">
        <f>J11</f>
        <v>2739750.7680000002</v>
      </c>
      <c r="K10" s="98"/>
      <c r="L10" s="106"/>
      <c r="M10" s="98"/>
    </row>
    <row r="11" spans="1:19" ht="47.45" customHeight="1" x14ac:dyDescent="0.3">
      <c r="A11" s="111" t="s">
        <v>44</v>
      </c>
      <c r="B11" s="112" t="s">
        <v>48</v>
      </c>
      <c r="C11" s="112" t="s">
        <v>35</v>
      </c>
      <c r="D11" s="19">
        <v>46.65</v>
      </c>
      <c r="E11" s="112">
        <v>1.25</v>
      </c>
      <c r="F11" s="131">
        <f>D11*E11</f>
        <v>58.3125</v>
      </c>
      <c r="G11" s="113">
        <f>'План приборы 2025'!C4</f>
        <v>44832</v>
      </c>
      <c r="H11" s="114">
        <f>F11*G11</f>
        <v>2614266</v>
      </c>
      <c r="I11" s="115">
        <v>4.8</v>
      </c>
      <c r="J11" s="116">
        <f>H11*(1+I11/100)</f>
        <v>2739750.7680000002</v>
      </c>
      <c r="K11" s="98"/>
      <c r="L11" s="106"/>
      <c r="M11" s="98"/>
    </row>
    <row r="12" spans="1:19" ht="49.15" hidden="1" customHeight="1" x14ac:dyDescent="0.3">
      <c r="A12" s="111" t="s">
        <v>46</v>
      </c>
      <c r="B12" s="112" t="s">
        <v>47</v>
      </c>
      <c r="C12" s="112" t="s">
        <v>35</v>
      </c>
      <c r="D12" s="19">
        <v>3.84</v>
      </c>
      <c r="E12" s="112">
        <v>1.25</v>
      </c>
      <c r="F12" s="131">
        <f>D12*E12</f>
        <v>4.8</v>
      </c>
      <c r="G12" s="113"/>
      <c r="H12" s="114">
        <f t="shared" ref="H12" si="0">F12*G12</f>
        <v>0</v>
      </c>
      <c r="I12" s="115">
        <v>4.8</v>
      </c>
      <c r="J12" s="116">
        <f t="shared" ref="J12" si="1">H12*(1+I12/100)</f>
        <v>0</v>
      </c>
      <c r="K12" s="98"/>
      <c r="L12" s="106"/>
      <c r="M12" s="98"/>
    </row>
    <row r="13" spans="1:19" ht="37.5" x14ac:dyDescent="0.3">
      <c r="A13" s="107" t="s">
        <v>51</v>
      </c>
      <c r="B13" s="112"/>
      <c r="C13" s="112"/>
      <c r="D13" s="19"/>
      <c r="E13" s="112"/>
      <c r="F13" s="112"/>
      <c r="G13" s="118">
        <f>G14+G15</f>
        <v>426</v>
      </c>
      <c r="H13" s="109">
        <f>H14+H15</f>
        <v>28808.325000000004</v>
      </c>
      <c r="I13" s="119"/>
      <c r="J13" s="110">
        <f>J14+J15</f>
        <v>30191.124600000006</v>
      </c>
      <c r="K13" s="98"/>
      <c r="L13" s="106"/>
      <c r="M13" s="98"/>
    </row>
    <row r="14" spans="1:19" ht="45.75" x14ac:dyDescent="0.3">
      <c r="A14" s="111" t="s">
        <v>134</v>
      </c>
      <c r="B14" s="112" t="s">
        <v>54</v>
      </c>
      <c r="C14" s="112" t="s">
        <v>35</v>
      </c>
      <c r="D14" s="19">
        <v>56.02</v>
      </c>
      <c r="E14" s="112">
        <v>1.25</v>
      </c>
      <c r="F14" s="131">
        <f>D14*E14</f>
        <v>70.025000000000006</v>
      </c>
      <c r="G14" s="113">
        <f>'План приборы 2025'!C9</f>
        <v>297</v>
      </c>
      <c r="H14" s="114">
        <f>F14*G14</f>
        <v>20797.425000000003</v>
      </c>
      <c r="I14" s="115">
        <v>4.8</v>
      </c>
      <c r="J14" s="116">
        <f>H14*(1+I14/100)</f>
        <v>21795.701400000005</v>
      </c>
      <c r="K14" s="98"/>
      <c r="L14" s="106"/>
      <c r="M14" s="98"/>
    </row>
    <row r="15" spans="1:19" ht="45.75" x14ac:dyDescent="0.3">
      <c r="A15" s="111" t="s">
        <v>62</v>
      </c>
      <c r="B15" s="112" t="s">
        <v>53</v>
      </c>
      <c r="C15" s="112" t="s">
        <v>35</v>
      </c>
      <c r="D15" s="19">
        <v>49.68</v>
      </c>
      <c r="E15" s="112">
        <v>1.25</v>
      </c>
      <c r="F15" s="131">
        <f>D15*E15</f>
        <v>62.1</v>
      </c>
      <c r="G15" s="113">
        <f>'План приборы 2025'!C6</f>
        <v>129</v>
      </c>
      <c r="H15" s="114">
        <f>F15*G15</f>
        <v>8010.9000000000005</v>
      </c>
      <c r="I15" s="115">
        <v>4.8</v>
      </c>
      <c r="J15" s="116">
        <f>H15*(1+I15/100)</f>
        <v>8395.4232000000011</v>
      </c>
      <c r="K15" s="98"/>
      <c r="L15" s="106"/>
      <c r="M15" s="98"/>
    </row>
    <row r="16" spans="1:19" ht="19.5" thickBot="1" x14ac:dyDescent="0.35">
      <c r="A16" s="120" t="s">
        <v>65</v>
      </c>
      <c r="B16" s="121"/>
      <c r="C16" s="121"/>
      <c r="D16" s="121"/>
      <c r="E16" s="133"/>
      <c r="F16" s="133"/>
      <c r="G16" s="122">
        <f>G13+G10</f>
        <v>45258</v>
      </c>
      <c r="H16" s="123">
        <f>H13+H10</f>
        <v>2643074.3250000002</v>
      </c>
      <c r="I16" s="124"/>
      <c r="J16" s="125">
        <f>J13+J10</f>
        <v>2769941.8926000004</v>
      </c>
      <c r="K16" s="98"/>
      <c r="L16" s="98"/>
      <c r="M16" s="98"/>
      <c r="N16" s="98"/>
    </row>
    <row r="17" spans="1:14" ht="18.75" x14ac:dyDescent="0.3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</row>
    <row r="18" spans="1:14" ht="18.75" x14ac:dyDescent="0.3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</row>
    <row r="19" spans="1:14" ht="22.5" hidden="1" x14ac:dyDescent="0.3">
      <c r="A19" s="206" t="s">
        <v>63</v>
      </c>
      <c r="B19" s="207"/>
      <c r="C19" s="207"/>
      <c r="D19" s="207"/>
      <c r="E19" s="207"/>
      <c r="F19" s="207"/>
      <c r="G19" s="207"/>
      <c r="H19" s="207"/>
      <c r="I19" s="207"/>
      <c r="J19" s="208"/>
      <c r="K19" s="98"/>
      <c r="L19" s="98"/>
      <c r="M19" s="98"/>
      <c r="N19" s="98"/>
    </row>
    <row r="20" spans="1:14" ht="150" hidden="1" x14ac:dyDescent="0.3">
      <c r="A20" s="126" t="s">
        <v>27</v>
      </c>
      <c r="B20" s="127" t="s">
        <v>28</v>
      </c>
      <c r="C20" s="127" t="s">
        <v>29</v>
      </c>
      <c r="D20" s="127" t="s">
        <v>30</v>
      </c>
      <c r="E20" s="127" t="s">
        <v>31</v>
      </c>
      <c r="F20" s="127" t="s">
        <v>32</v>
      </c>
      <c r="G20" s="127" t="s">
        <v>33</v>
      </c>
      <c r="H20" s="127" t="s">
        <v>42</v>
      </c>
      <c r="I20" s="127" t="s">
        <v>39</v>
      </c>
      <c r="J20" s="128" t="s">
        <v>34</v>
      </c>
      <c r="K20" s="98"/>
      <c r="L20" s="98"/>
      <c r="M20" s="98"/>
      <c r="N20" s="98"/>
    </row>
    <row r="21" spans="1:14" ht="18.75" hidden="1" x14ac:dyDescent="0.3">
      <c r="A21" s="107"/>
      <c r="B21" s="104"/>
      <c r="C21" s="104"/>
      <c r="D21" s="104"/>
      <c r="E21" s="104"/>
      <c r="F21" s="104"/>
      <c r="G21" s="104"/>
      <c r="H21" s="104"/>
      <c r="I21" s="104"/>
      <c r="J21" s="105"/>
      <c r="K21" s="98"/>
      <c r="L21" s="98"/>
      <c r="M21" s="98"/>
      <c r="N21" s="98"/>
    </row>
    <row r="22" spans="1:14" ht="37.5" hidden="1" x14ac:dyDescent="0.3">
      <c r="A22" s="107" t="s">
        <v>50</v>
      </c>
      <c r="B22" s="112"/>
      <c r="C22" s="112"/>
      <c r="D22" s="19"/>
      <c r="E22" s="112"/>
      <c r="F22" s="112"/>
      <c r="G22" s="118">
        <f>G23</f>
        <v>0</v>
      </c>
      <c r="H22" s="129">
        <f>H23</f>
        <v>0</v>
      </c>
      <c r="I22" s="119"/>
      <c r="J22" s="130">
        <f>J23</f>
        <v>0</v>
      </c>
      <c r="K22" s="98"/>
      <c r="L22" s="98"/>
      <c r="M22" s="98"/>
      <c r="N22" s="98"/>
    </row>
    <row r="23" spans="1:14" ht="48.6" hidden="1" customHeight="1" x14ac:dyDescent="0.3">
      <c r="A23" s="111" t="s">
        <v>135</v>
      </c>
      <c r="B23" s="112" t="s">
        <v>48</v>
      </c>
      <c r="C23" s="117" t="s">
        <v>35</v>
      </c>
      <c r="D23" s="19">
        <v>46.65</v>
      </c>
      <c r="E23" s="112">
        <v>1.25</v>
      </c>
      <c r="F23" s="131">
        <f>D23*E23</f>
        <v>58.3125</v>
      </c>
      <c r="G23" s="113">
        <v>0</v>
      </c>
      <c r="H23" s="114">
        <f>G23*F23</f>
        <v>0</v>
      </c>
      <c r="I23" s="115" t="s">
        <v>40</v>
      </c>
      <c r="J23" s="116">
        <f>H23*1.048*1.046</f>
        <v>0</v>
      </c>
      <c r="K23" s="98"/>
      <c r="L23" s="98"/>
      <c r="M23" s="98"/>
      <c r="N23" s="98"/>
    </row>
    <row r="24" spans="1:14" ht="9.6" hidden="1" customHeight="1" x14ac:dyDescent="0.3">
      <c r="A24" s="111" t="s">
        <v>46</v>
      </c>
      <c r="B24" s="132" t="s">
        <v>47</v>
      </c>
      <c r="C24" s="104" t="s">
        <v>35</v>
      </c>
      <c r="D24" s="132">
        <v>3.84</v>
      </c>
      <c r="E24" s="132">
        <v>1.25</v>
      </c>
      <c r="F24" s="131">
        <f t="shared" ref="F24" si="2">D24*E24</f>
        <v>4.8</v>
      </c>
      <c r="G24" s="132"/>
      <c r="H24" s="129">
        <v>0</v>
      </c>
      <c r="I24" s="115" t="s">
        <v>40</v>
      </c>
      <c r="J24" s="110">
        <v>0</v>
      </c>
      <c r="K24" s="98"/>
      <c r="L24" s="98"/>
      <c r="M24" s="98"/>
      <c r="N24" s="98"/>
    </row>
    <row r="25" spans="1:14" ht="37.5" hidden="1" x14ac:dyDescent="0.3">
      <c r="A25" s="107" t="s">
        <v>51</v>
      </c>
      <c r="B25" s="132"/>
      <c r="C25" s="104"/>
      <c r="D25" s="132"/>
      <c r="E25" s="132"/>
      <c r="F25" s="132"/>
      <c r="G25" s="118">
        <f>G26+G27</f>
        <v>0</v>
      </c>
      <c r="H25" s="129">
        <f>H26+H27</f>
        <v>0</v>
      </c>
      <c r="I25" s="119"/>
      <c r="J25" s="130">
        <f>J26+J27</f>
        <v>0</v>
      </c>
      <c r="K25" s="98"/>
      <c r="L25" s="98"/>
      <c r="M25" s="98"/>
      <c r="N25" s="98"/>
    </row>
    <row r="26" spans="1:14" ht="48.6" hidden="1" customHeight="1" x14ac:dyDescent="0.3">
      <c r="A26" s="111" t="s">
        <v>52</v>
      </c>
      <c r="B26" s="132" t="s">
        <v>54</v>
      </c>
      <c r="C26" s="104" t="s">
        <v>35</v>
      </c>
      <c r="D26" s="132">
        <v>56.02</v>
      </c>
      <c r="E26" s="132">
        <v>1.25</v>
      </c>
      <c r="F26" s="131">
        <f>D26*E26</f>
        <v>70.025000000000006</v>
      </c>
      <c r="G26" s="132"/>
      <c r="H26" s="114">
        <f>G26*F26</f>
        <v>0</v>
      </c>
      <c r="I26" s="115" t="s">
        <v>40</v>
      </c>
      <c r="J26" s="116">
        <f>H26*1.048*1.046</f>
        <v>0</v>
      </c>
      <c r="K26" s="98"/>
      <c r="L26" s="98"/>
      <c r="M26" s="98"/>
      <c r="N26" s="98"/>
    </row>
    <row r="27" spans="1:14" ht="43.15" hidden="1" customHeight="1" x14ac:dyDescent="0.3">
      <c r="A27" s="111" t="s">
        <v>62</v>
      </c>
      <c r="B27" s="132" t="s">
        <v>53</v>
      </c>
      <c r="C27" s="104" t="s">
        <v>35</v>
      </c>
      <c r="D27" s="132">
        <v>49.68</v>
      </c>
      <c r="E27" s="132">
        <v>1.25</v>
      </c>
      <c r="F27" s="131">
        <f>D27*E27</f>
        <v>62.1</v>
      </c>
      <c r="G27" s="132"/>
      <c r="H27" s="114">
        <f>G27*F27</f>
        <v>0</v>
      </c>
      <c r="I27" s="115" t="s">
        <v>40</v>
      </c>
      <c r="J27" s="116">
        <f>H27*1.048*1.046</f>
        <v>0</v>
      </c>
      <c r="K27" s="98"/>
      <c r="L27" s="98"/>
      <c r="M27" s="98"/>
      <c r="N27" s="98"/>
    </row>
    <row r="28" spans="1:14" ht="19.5" hidden="1" thickBot="1" x14ac:dyDescent="0.35">
      <c r="A28" s="120" t="s">
        <v>65</v>
      </c>
      <c r="B28" s="121"/>
      <c r="C28" s="121"/>
      <c r="D28" s="133"/>
      <c r="E28" s="121"/>
      <c r="F28" s="121"/>
      <c r="G28" s="122">
        <f>G25+G22</f>
        <v>0</v>
      </c>
      <c r="H28" s="123">
        <f>H25+H22</f>
        <v>0</v>
      </c>
      <c r="I28" s="124"/>
      <c r="J28" s="125">
        <f>J25+J22</f>
        <v>0</v>
      </c>
      <c r="K28" s="98"/>
      <c r="L28" s="98"/>
      <c r="M28" s="98"/>
      <c r="N28" s="98"/>
    </row>
    <row r="29" spans="1:14" ht="18.75" hidden="1" x14ac:dyDescent="0.3">
      <c r="A29" s="98"/>
      <c r="B29" s="98"/>
      <c r="C29" s="98"/>
      <c r="D29" s="98"/>
      <c r="E29" s="98"/>
      <c r="F29" s="98"/>
      <c r="G29" s="106"/>
      <c r="H29" s="106"/>
      <c r="I29" s="106"/>
      <c r="J29" s="106"/>
      <c r="K29" s="98"/>
      <c r="L29" s="98"/>
      <c r="M29" s="98"/>
      <c r="N29" s="98"/>
    </row>
    <row r="30" spans="1:14" ht="18.75" hidden="1" x14ac:dyDescent="0.3">
      <c r="A30" s="98"/>
      <c r="B30" s="98"/>
      <c r="C30" s="98"/>
      <c r="D30" s="98"/>
      <c r="E30" s="98"/>
      <c r="F30" s="98"/>
      <c r="G30" s="106"/>
      <c r="H30" s="106"/>
      <c r="I30" s="106"/>
      <c r="J30" s="106"/>
      <c r="K30" s="98"/>
      <c r="L30" s="98"/>
      <c r="M30" s="98"/>
      <c r="N30" s="98"/>
    </row>
    <row r="31" spans="1:14" ht="22.5" hidden="1" x14ac:dyDescent="0.3">
      <c r="A31" s="206" t="s">
        <v>38</v>
      </c>
      <c r="B31" s="207"/>
      <c r="C31" s="207"/>
      <c r="D31" s="207"/>
      <c r="E31" s="207"/>
      <c r="F31" s="207"/>
      <c r="G31" s="207"/>
      <c r="H31" s="207"/>
      <c r="I31" s="207"/>
      <c r="J31" s="208"/>
      <c r="K31" s="98"/>
      <c r="L31" s="98"/>
      <c r="M31" s="98"/>
      <c r="N31" s="98"/>
    </row>
    <row r="32" spans="1:14" ht="150" hidden="1" x14ac:dyDescent="0.3">
      <c r="A32" s="126" t="s">
        <v>27</v>
      </c>
      <c r="B32" s="127" t="s">
        <v>28</v>
      </c>
      <c r="C32" s="127" t="s">
        <v>29</v>
      </c>
      <c r="D32" s="127" t="s">
        <v>30</v>
      </c>
      <c r="E32" s="127" t="s">
        <v>31</v>
      </c>
      <c r="F32" s="127" t="s">
        <v>32</v>
      </c>
      <c r="G32" s="127" t="s">
        <v>33</v>
      </c>
      <c r="H32" s="127" t="s">
        <v>42</v>
      </c>
      <c r="I32" s="127" t="s">
        <v>39</v>
      </c>
      <c r="J32" s="128" t="s">
        <v>34</v>
      </c>
      <c r="K32" s="98"/>
      <c r="L32" s="98"/>
      <c r="M32" s="98"/>
      <c r="N32" s="98"/>
    </row>
    <row r="33" spans="1:14" ht="37.5" hidden="1" x14ac:dyDescent="0.3">
      <c r="A33" s="107" t="s">
        <v>50</v>
      </c>
      <c r="B33" s="112"/>
      <c r="C33" s="112"/>
      <c r="D33" s="19"/>
      <c r="E33" s="112"/>
      <c r="F33" s="112"/>
      <c r="G33" s="118">
        <f>G34</f>
        <v>0</v>
      </c>
      <c r="H33" s="129">
        <f>H34</f>
        <v>0</v>
      </c>
      <c r="I33" s="115"/>
      <c r="J33" s="130">
        <f>J34</f>
        <v>0</v>
      </c>
      <c r="K33" s="98"/>
      <c r="L33" s="98"/>
      <c r="M33" s="98"/>
      <c r="N33" s="98"/>
    </row>
    <row r="34" spans="1:14" ht="45.75" hidden="1" x14ac:dyDescent="0.3">
      <c r="A34" s="111" t="s">
        <v>135</v>
      </c>
      <c r="B34" s="112" t="s">
        <v>48</v>
      </c>
      <c r="C34" s="117" t="s">
        <v>35</v>
      </c>
      <c r="D34" s="19">
        <v>46.65</v>
      </c>
      <c r="E34" s="112">
        <v>1.25</v>
      </c>
      <c r="F34" s="131">
        <f>D34*E34</f>
        <v>58.3125</v>
      </c>
      <c r="G34" s="113">
        <v>0</v>
      </c>
      <c r="H34" s="114">
        <f>G34*F34</f>
        <v>0</v>
      </c>
      <c r="I34" s="115" t="s">
        <v>41</v>
      </c>
      <c r="J34" s="116">
        <f>H34*1.048*1.046*1.046</f>
        <v>0</v>
      </c>
      <c r="K34" s="98"/>
      <c r="L34" s="98"/>
      <c r="M34" s="98"/>
      <c r="N34" s="98"/>
    </row>
    <row r="35" spans="1:14" ht="37.5" hidden="1" x14ac:dyDescent="0.3">
      <c r="A35" s="107" t="s">
        <v>51</v>
      </c>
      <c r="B35" s="104"/>
      <c r="C35" s="104"/>
      <c r="D35" s="132"/>
      <c r="E35" s="132"/>
      <c r="F35" s="132"/>
      <c r="G35" s="108">
        <f>G36</f>
        <v>0</v>
      </c>
      <c r="H35" s="108">
        <f>H36</f>
        <v>0</v>
      </c>
      <c r="I35" s="109"/>
      <c r="J35" s="110"/>
      <c r="K35" s="98"/>
      <c r="L35" s="98"/>
      <c r="M35" s="98"/>
      <c r="N35" s="98"/>
    </row>
    <row r="36" spans="1:14" ht="46.15" hidden="1" customHeight="1" x14ac:dyDescent="0.3">
      <c r="A36" s="111" t="s">
        <v>52</v>
      </c>
      <c r="B36" s="132" t="s">
        <v>54</v>
      </c>
      <c r="C36" s="104" t="s">
        <v>35</v>
      </c>
      <c r="D36" s="132">
        <v>56.02</v>
      </c>
      <c r="E36" s="132">
        <v>1.25</v>
      </c>
      <c r="F36" s="131">
        <f>D36*E36</f>
        <v>70.025000000000006</v>
      </c>
      <c r="G36" s="134"/>
      <c r="H36" s="114">
        <f>G36*F36</f>
        <v>0</v>
      </c>
      <c r="I36" s="115" t="s">
        <v>41</v>
      </c>
      <c r="J36" s="116">
        <f>H36*1.048*1.046*1.046</f>
        <v>0</v>
      </c>
      <c r="K36" s="98"/>
      <c r="L36" s="98"/>
      <c r="M36" s="98"/>
      <c r="N36" s="98"/>
    </row>
    <row r="37" spans="1:14" ht="45.75" hidden="1" x14ac:dyDescent="0.3">
      <c r="A37" s="111" t="s">
        <v>62</v>
      </c>
      <c r="B37" s="132" t="s">
        <v>53</v>
      </c>
      <c r="C37" s="104" t="s">
        <v>35</v>
      </c>
      <c r="D37" s="132">
        <v>49.68</v>
      </c>
      <c r="E37" s="132">
        <v>1.25</v>
      </c>
      <c r="F37" s="131">
        <f>D37*E37</f>
        <v>62.1</v>
      </c>
      <c r="G37" s="132"/>
      <c r="H37" s="114">
        <f>G37*F37</f>
        <v>0</v>
      </c>
      <c r="I37" s="115" t="s">
        <v>41</v>
      </c>
      <c r="J37" s="116">
        <f>H37*1.048*1.046*1.046</f>
        <v>0</v>
      </c>
      <c r="K37" s="98"/>
      <c r="L37" s="98"/>
      <c r="M37" s="98"/>
      <c r="N37" s="98"/>
    </row>
    <row r="38" spans="1:14" ht="19.5" hidden="1" thickBot="1" x14ac:dyDescent="0.35">
      <c r="A38" s="120" t="s">
        <v>65</v>
      </c>
      <c r="B38" s="121"/>
      <c r="C38" s="121"/>
      <c r="D38" s="133"/>
      <c r="E38" s="133"/>
      <c r="F38" s="133"/>
      <c r="G38" s="122">
        <f>G35+G33</f>
        <v>0</v>
      </c>
      <c r="H38" s="122">
        <f>H35+H33</f>
        <v>0</v>
      </c>
      <c r="I38" s="124"/>
      <c r="J38" s="122">
        <f>J35+J33</f>
        <v>0</v>
      </c>
      <c r="K38" s="98"/>
      <c r="L38" s="98"/>
      <c r="M38" s="98"/>
      <c r="N38" s="98"/>
    </row>
    <row r="39" spans="1:14" ht="18.75" hidden="1" x14ac:dyDescent="0.3">
      <c r="A39" s="135"/>
      <c r="B39" s="98"/>
      <c r="C39" s="98"/>
      <c r="D39" s="98"/>
      <c r="E39" s="98"/>
      <c r="F39" s="98"/>
      <c r="G39" s="98"/>
      <c r="H39" s="136"/>
      <c r="I39" s="137"/>
      <c r="J39" s="137"/>
      <c r="K39" s="98"/>
      <c r="L39" s="98"/>
      <c r="M39" s="98"/>
      <c r="N39" s="98"/>
    </row>
    <row r="40" spans="1:14" ht="18.75" hidden="1" x14ac:dyDescent="0.3">
      <c r="A40" s="135"/>
      <c r="B40" s="98"/>
      <c r="C40" s="98"/>
      <c r="D40" s="98"/>
      <c r="E40" s="98"/>
      <c r="F40" s="98"/>
      <c r="G40" s="98"/>
      <c r="H40" s="136"/>
      <c r="I40" s="137"/>
      <c r="J40" s="137"/>
      <c r="K40" s="98"/>
      <c r="L40" s="98"/>
      <c r="M40" s="98"/>
      <c r="N40" s="98"/>
    </row>
    <row r="41" spans="1:14" ht="22.5" hidden="1" x14ac:dyDescent="0.3">
      <c r="A41" s="206" t="s">
        <v>43</v>
      </c>
      <c r="B41" s="207"/>
      <c r="C41" s="207"/>
      <c r="D41" s="207"/>
      <c r="E41" s="207"/>
      <c r="F41" s="207"/>
      <c r="G41" s="207"/>
      <c r="H41" s="207"/>
      <c r="I41" s="207"/>
      <c r="J41" s="208"/>
    </row>
    <row r="42" spans="1:14" ht="150" hidden="1" x14ac:dyDescent="0.25">
      <c r="A42" s="126" t="s">
        <v>27</v>
      </c>
      <c r="B42" s="127" t="s">
        <v>28</v>
      </c>
      <c r="C42" s="127" t="s">
        <v>29</v>
      </c>
      <c r="D42" s="127" t="s">
        <v>30</v>
      </c>
      <c r="E42" s="127" t="s">
        <v>31</v>
      </c>
      <c r="F42" s="127" t="s">
        <v>32</v>
      </c>
      <c r="G42" s="127" t="s">
        <v>33</v>
      </c>
      <c r="H42" s="127" t="s">
        <v>42</v>
      </c>
      <c r="I42" s="127" t="s">
        <v>39</v>
      </c>
      <c r="J42" s="128" t="s">
        <v>34</v>
      </c>
    </row>
    <row r="43" spans="1:14" ht="37.5" hidden="1" x14ac:dyDescent="0.3">
      <c r="A43" s="107" t="s">
        <v>50</v>
      </c>
      <c r="B43" s="104"/>
      <c r="C43" s="104"/>
      <c r="D43" s="138"/>
      <c r="E43" s="139"/>
      <c r="F43" s="139"/>
      <c r="G43" s="109">
        <f>G44+G45</f>
        <v>44832</v>
      </c>
      <c r="H43" s="109">
        <f>H44+H45</f>
        <v>2614266</v>
      </c>
      <c r="I43" s="139"/>
      <c r="J43" s="110">
        <f>J44+J45</f>
        <v>2739750.7680000002</v>
      </c>
    </row>
    <row r="44" spans="1:14" ht="45.75" hidden="1" x14ac:dyDescent="0.3">
      <c r="A44" s="111" t="s">
        <v>44</v>
      </c>
      <c r="B44" s="112" t="s">
        <v>48</v>
      </c>
      <c r="C44" s="117" t="s">
        <v>35</v>
      </c>
      <c r="D44" s="24">
        <v>46.65</v>
      </c>
      <c r="E44" s="140">
        <v>1.25</v>
      </c>
      <c r="F44" s="114">
        <f>D44*E44</f>
        <v>58.3125</v>
      </c>
      <c r="G44" s="114">
        <f>G34+G23+G11</f>
        <v>44832</v>
      </c>
      <c r="H44" s="114">
        <f>H34+H23+H11</f>
        <v>2614266</v>
      </c>
      <c r="I44" s="141"/>
      <c r="J44" s="116">
        <f>J34+J23+J11</f>
        <v>2739750.7680000002</v>
      </c>
    </row>
    <row r="45" spans="1:14" ht="45.75" hidden="1" x14ac:dyDescent="0.3">
      <c r="A45" s="111" t="s">
        <v>45</v>
      </c>
      <c r="B45" s="132" t="s">
        <v>49</v>
      </c>
      <c r="C45" s="104" t="s">
        <v>35</v>
      </c>
      <c r="D45" s="140">
        <v>41.93</v>
      </c>
      <c r="E45" s="140">
        <v>1.25</v>
      </c>
      <c r="F45" s="114">
        <f>D45*E45</f>
        <v>52.412500000000001</v>
      </c>
      <c r="G45" s="114"/>
      <c r="H45" s="114"/>
      <c r="I45" s="141"/>
      <c r="J45" s="116"/>
    </row>
    <row r="46" spans="1:14" ht="45.75" hidden="1" x14ac:dyDescent="0.3">
      <c r="A46" s="111" t="s">
        <v>46</v>
      </c>
      <c r="B46" s="104"/>
      <c r="C46" s="104"/>
      <c r="D46" s="138"/>
      <c r="E46" s="138"/>
      <c r="F46" s="138"/>
      <c r="G46" s="138"/>
      <c r="H46" s="114" t="e">
        <f>#REF!+H24+H12</f>
        <v>#REF!</v>
      </c>
      <c r="I46" s="109"/>
      <c r="J46" s="130"/>
    </row>
    <row r="47" spans="1:14" ht="37.5" hidden="1" x14ac:dyDescent="0.3">
      <c r="A47" s="107" t="s">
        <v>51</v>
      </c>
      <c r="B47" s="142"/>
      <c r="C47" s="142"/>
      <c r="D47" s="143"/>
      <c r="E47" s="143"/>
      <c r="F47" s="144"/>
      <c r="G47" s="109">
        <f>G48+G49</f>
        <v>426</v>
      </c>
      <c r="H47" s="109">
        <f>H48+H49</f>
        <v>28808.325000000004</v>
      </c>
      <c r="I47" s="144"/>
      <c r="J47" s="110">
        <f>J48+J49</f>
        <v>30191.124600000006</v>
      </c>
    </row>
    <row r="48" spans="1:14" ht="49.15" hidden="1" customHeight="1" x14ac:dyDescent="0.3">
      <c r="A48" s="111" t="s">
        <v>52</v>
      </c>
      <c r="B48" s="132" t="s">
        <v>54</v>
      </c>
      <c r="C48" s="104" t="s">
        <v>35</v>
      </c>
      <c r="D48" s="140">
        <v>56.02</v>
      </c>
      <c r="E48" s="140">
        <v>1.25</v>
      </c>
      <c r="F48" s="114">
        <f>D48*E48</f>
        <v>70.025000000000006</v>
      </c>
      <c r="G48" s="114">
        <f>G36+G26+G14</f>
        <v>297</v>
      </c>
      <c r="H48" s="114">
        <f>H36+H26+H14</f>
        <v>20797.425000000003</v>
      </c>
      <c r="I48" s="143"/>
      <c r="J48" s="116">
        <f>J36+J26+J14</f>
        <v>21795.701400000005</v>
      </c>
    </row>
    <row r="49" spans="1:10" ht="45.6" hidden="1" customHeight="1" x14ac:dyDescent="0.3">
      <c r="A49" s="111" t="s">
        <v>62</v>
      </c>
      <c r="B49" s="132" t="s">
        <v>53</v>
      </c>
      <c r="C49" s="104" t="s">
        <v>35</v>
      </c>
      <c r="D49" s="140">
        <v>49.68</v>
      </c>
      <c r="E49" s="140">
        <v>1.25</v>
      </c>
      <c r="F49" s="114">
        <f>D49*E49</f>
        <v>62.1</v>
      </c>
      <c r="G49" s="114">
        <f>G37+G27+G15</f>
        <v>129</v>
      </c>
      <c r="H49" s="114">
        <f>H37+H27+H15</f>
        <v>8010.9000000000005</v>
      </c>
      <c r="I49" s="143"/>
      <c r="J49" s="116">
        <f>J37+J27+J15</f>
        <v>8395.4232000000011</v>
      </c>
    </row>
    <row r="50" spans="1:10" ht="19.5" hidden="1" thickBot="1" x14ac:dyDescent="0.35">
      <c r="A50" s="120" t="s">
        <v>55</v>
      </c>
      <c r="B50" s="145"/>
      <c r="C50" s="145"/>
      <c r="D50" s="146"/>
      <c r="E50" s="146"/>
      <c r="F50" s="146"/>
      <c r="G50" s="124">
        <f>G47+G43</f>
        <v>45258</v>
      </c>
      <c r="H50" s="124">
        <f>H47+H43</f>
        <v>2643074.3250000002</v>
      </c>
      <c r="I50" s="147"/>
      <c r="J50" s="148">
        <f>J47+J43</f>
        <v>2769941.8926000004</v>
      </c>
    </row>
    <row r="53" spans="1:10" x14ac:dyDescent="0.25">
      <c r="J53" s="149"/>
    </row>
  </sheetData>
  <mergeCells count="6">
    <mergeCell ref="A41:J41"/>
    <mergeCell ref="A3:J3"/>
    <mergeCell ref="A5:J5"/>
    <mergeCell ref="A7:J7"/>
    <mergeCell ref="A19:J19"/>
    <mergeCell ref="A31:J3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9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Свод по ИП</vt:lpstr>
      <vt:lpstr>План приборы 2025</vt:lpstr>
      <vt:lpstr>Расходы 2025  ИСУ</vt:lpstr>
      <vt:lpstr>Расходы 2025 по УНЦ</vt:lpstr>
      <vt:lpstr>'Расходы 2025  ИСУ'!Область_печати</vt:lpstr>
      <vt:lpstr>'Расходы 2025 по УНЦ'!Область_печати</vt:lpstr>
      <vt:lpstr>'Свод по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Орехова Ирина Васильевна</dc:creator>
  <cp:lastModifiedBy>Орехова Ирина Васильевна</cp:lastModifiedBy>
  <cp:lastPrinted>2024-04-13T14:13:08Z</cp:lastPrinted>
  <dcterms:created xsi:type="dcterms:W3CDTF">2024-03-18T07:08:29Z</dcterms:created>
  <dcterms:modified xsi:type="dcterms:W3CDTF">2024-04-13T18:07:14Z</dcterms:modified>
</cp:coreProperties>
</file>