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Пояснительная записка доработка 20.06.2023\"/>
    </mc:Choice>
  </mc:AlternateContent>
  <xr:revisionPtr revIDLastSave="0" documentId="13_ncr:1_{2C1480E2-C173-454D-BA3D-4F4A3E4E8C03}" xr6:coauthVersionLast="47" xr6:coauthVersionMax="47" xr10:uidLastSave="{00000000-0000-0000-0000-000000000000}"/>
  <bookViews>
    <workbookView xWindow="-120" yWindow="-120" windowWidth="29040" windowHeight="15840" xr2:uid="{3F6F400B-F79F-42D1-9928-F9F418D6C173}"/>
  </bookViews>
  <sheets>
    <sheet name="2023_2024" sheetId="1" r:id="rId1"/>
    <sheet name="2023 корр ИСУ" sheetId="2" r:id="rId2"/>
    <sheet name="2024 корр ИСУ" sheetId="3" r:id="rId3"/>
  </sheets>
  <definedNames>
    <definedName name="_xlnm.Print_Area" localSheetId="1">'2023 корр ИСУ'!$A$1:$G$33</definedName>
    <definedName name="_xlnm.Print_Area" localSheetId="0">'2023_2024'!$A$1:$N$65</definedName>
    <definedName name="_xlnm.Print_Area" localSheetId="2">'2024 корр ИСУ'!$A$1:$H$87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H56" i="1"/>
  <c r="H42" i="1" l="1"/>
  <c r="F16" i="3"/>
  <c r="H48" i="1" l="1"/>
  <c r="F82" i="3"/>
  <c r="C82" i="3"/>
  <c r="H76" i="3"/>
  <c r="C70" i="3"/>
  <c r="D23" i="3"/>
  <c r="D22" i="3"/>
  <c r="D19" i="3"/>
  <c r="D18" i="3"/>
  <c r="D15" i="3"/>
  <c r="F8" i="3"/>
  <c r="E8" i="3"/>
  <c r="F7" i="3"/>
  <c r="E7" i="3" s="1"/>
  <c r="F6" i="3"/>
  <c r="E6" i="3" s="1"/>
  <c r="F25" i="3" l="1"/>
  <c r="F23" i="3"/>
  <c r="E23" i="3" s="1"/>
  <c r="F22" i="3"/>
  <c r="E22" i="3" s="1"/>
  <c r="F21" i="3"/>
  <c r="E21" i="3" s="1"/>
  <c r="F20" i="3"/>
  <c r="E20" i="3" s="1"/>
  <c r="F19" i="3"/>
  <c r="E19" i="3" s="1"/>
  <c r="F18" i="3"/>
  <c r="E18" i="3" s="1"/>
  <c r="F17" i="3"/>
  <c r="E17" i="3" s="1"/>
  <c r="E16" i="3"/>
  <c r="F15" i="3"/>
  <c r="E15" i="3" s="1"/>
  <c r="F14" i="3"/>
  <c r="E14" i="3" s="1"/>
  <c r="F12" i="3"/>
  <c r="E12" i="3" s="1"/>
  <c r="F10" i="3"/>
  <c r="E10" i="3" s="1"/>
  <c r="F9" i="3"/>
  <c r="E9" i="3" s="1"/>
  <c r="E5" i="3" l="1"/>
  <c r="F5" i="3"/>
  <c r="E13" i="3"/>
  <c r="E11" i="3" s="1"/>
  <c r="F13" i="3"/>
  <c r="F11" i="3" s="1"/>
  <c r="E24" i="3" l="1"/>
  <c r="E26" i="3" s="1"/>
  <c r="H49" i="1" s="1"/>
  <c r="F24" i="3"/>
  <c r="F26" i="3" s="1"/>
  <c r="F7" i="2" l="1"/>
  <c r="F8" i="2"/>
  <c r="E8" i="2" s="1"/>
  <c r="F25" i="2" l="1"/>
  <c r="E25" i="2" s="1"/>
  <c r="F24" i="2"/>
  <c r="E24" i="2" s="1"/>
  <c r="F23" i="2"/>
  <c r="E23" i="2" s="1"/>
  <c r="F22" i="2"/>
  <c r="E22" i="2" s="1"/>
  <c r="F21" i="2"/>
  <c r="E21" i="2" s="1"/>
  <c r="F20" i="2"/>
  <c r="E20" i="2" s="1"/>
  <c r="F19" i="2"/>
  <c r="E19" i="2" s="1"/>
  <c r="F18" i="2"/>
  <c r="E18" i="2" s="1"/>
  <c r="F17" i="2"/>
  <c r="E17" i="2" s="1"/>
  <c r="F16" i="2"/>
  <c r="E16" i="2" s="1"/>
  <c r="F14" i="2"/>
  <c r="E14" i="2" s="1"/>
  <c r="E13" i="2" s="1"/>
  <c r="F10" i="2"/>
  <c r="E10" i="2" s="1"/>
  <c r="F9" i="2"/>
  <c r="E7" i="2"/>
  <c r="F6" i="2"/>
  <c r="E6" i="2" s="1"/>
  <c r="E9" i="2" l="1"/>
  <c r="E5" i="2" s="1"/>
  <c r="E26" i="2" s="1"/>
  <c r="F5" i="2"/>
  <c r="F13" i="2"/>
  <c r="F26" i="2" l="1"/>
  <c r="O28" i="1" l="1"/>
  <c r="O27" i="1" s="1"/>
  <c r="P49" i="1"/>
  <c r="P44" i="1"/>
  <c r="O44" i="1"/>
  <c r="O41" i="1"/>
  <c r="O42" i="1"/>
  <c r="P37" i="1"/>
  <c r="P35" i="1"/>
  <c r="O31" i="1"/>
  <c r="O22" i="1"/>
  <c r="P19" i="1"/>
  <c r="O20" i="1"/>
  <c r="O19" i="1" s="1"/>
  <c r="O18" i="1"/>
  <c r="P15" i="1"/>
  <c r="P16" i="1"/>
  <c r="P13" i="1"/>
  <c r="P14" i="1"/>
  <c r="O12" i="1"/>
  <c r="P10" i="1"/>
  <c r="O9" i="1"/>
  <c r="F57" i="1" l="1"/>
  <c r="H57" i="1"/>
  <c r="G57" i="1" l="1"/>
  <c r="J20" i="1" l="1"/>
  <c r="K28" i="1" l="1"/>
  <c r="L28" i="1" s="1"/>
  <c r="K31" i="1"/>
  <c r="H47" i="1" l="1"/>
  <c r="F48" i="1"/>
  <c r="F47" i="1"/>
  <c r="F46" i="1"/>
  <c r="H45" i="1"/>
  <c r="F45" i="1"/>
  <c r="H43" i="1" l="1"/>
  <c r="P43" i="1" s="1"/>
  <c r="F43" i="1"/>
  <c r="O43" i="1" s="1"/>
  <c r="F16" i="1"/>
  <c r="O16" i="1" s="1"/>
  <c r="H18" i="1"/>
  <c r="H25" i="1"/>
  <c r="F25" i="1"/>
  <c r="H12" i="1"/>
  <c r="P12" i="1" s="1"/>
  <c r="K25" i="1" l="1"/>
  <c r="M25" i="1"/>
  <c r="P25" i="1"/>
  <c r="P24" i="1" s="1"/>
  <c r="P18" i="1"/>
  <c r="F49" i="1"/>
  <c r="H9" i="1"/>
  <c r="P9" i="1" s="1"/>
  <c r="O49" i="1" l="1"/>
  <c r="H28" i="1"/>
  <c r="M28" i="1" l="1"/>
  <c r="N28" i="1" s="1"/>
  <c r="P28" i="1"/>
  <c r="P27" i="1" s="1"/>
  <c r="H41" i="1"/>
  <c r="P42" i="1"/>
  <c r="G43" i="1"/>
  <c r="E43" i="1"/>
  <c r="G41" i="1"/>
  <c r="E41" i="1"/>
  <c r="F38" i="1"/>
  <c r="F35" i="1"/>
  <c r="F32" i="1"/>
  <c r="F31" i="1" s="1"/>
  <c r="H27" i="1"/>
  <c r="F28" i="1"/>
  <c r="F27" i="1" s="1"/>
  <c r="E27" i="1"/>
  <c r="F26" i="1"/>
  <c r="O25" i="1" s="1"/>
  <c r="O24" i="1" s="1"/>
  <c r="H24" i="1"/>
  <c r="G24" i="1"/>
  <c r="E24" i="1"/>
  <c r="H22" i="1"/>
  <c r="G21" i="1"/>
  <c r="F21" i="1"/>
  <c r="O21" i="1" s="1"/>
  <c r="E21" i="1"/>
  <c r="F20" i="1"/>
  <c r="F19" i="1" s="1"/>
  <c r="H19" i="1"/>
  <c r="G19" i="1"/>
  <c r="E19" i="1"/>
  <c r="H17" i="1"/>
  <c r="P17" i="1" s="1"/>
  <c r="G17" i="1"/>
  <c r="F17" i="1"/>
  <c r="O17" i="1" s="1"/>
  <c r="E17" i="1"/>
  <c r="F15" i="1"/>
  <c r="E15" i="1"/>
  <c r="F14" i="1"/>
  <c r="G13" i="1"/>
  <c r="H11" i="1"/>
  <c r="G11" i="1"/>
  <c r="F11" i="1"/>
  <c r="O11" i="1" s="1"/>
  <c r="E11" i="1"/>
  <c r="F10" i="1"/>
  <c r="H8" i="1"/>
  <c r="G8" i="1"/>
  <c r="E8" i="1"/>
  <c r="O35" i="1" l="1"/>
  <c r="P41" i="1"/>
  <c r="F8" i="1"/>
  <c r="O10" i="1"/>
  <c r="P11" i="1"/>
  <c r="O15" i="1"/>
  <c r="F13" i="1"/>
  <c r="O13" i="1" s="1"/>
  <c r="O14" i="1"/>
  <c r="P8" i="1"/>
  <c r="F37" i="1"/>
  <c r="O37" i="1" s="1"/>
  <c r="H21" i="1"/>
  <c r="P22" i="1"/>
  <c r="F24" i="1"/>
  <c r="K26" i="1"/>
  <c r="G7" i="1"/>
  <c r="G6" i="1" s="1"/>
  <c r="E7" i="1"/>
  <c r="E6" i="1" s="1"/>
  <c r="P21" i="1" l="1"/>
  <c r="O8" i="1"/>
  <c r="O7" i="1" s="1"/>
  <c r="O6" i="1" s="1"/>
  <c r="H7" i="1"/>
  <c r="H6" i="1" s="1"/>
  <c r="H58" i="1" s="1"/>
  <c r="P7" i="1"/>
  <c r="P6" i="1" s="1"/>
  <c r="F7" i="1"/>
  <c r="F6" i="1" s="1"/>
  <c r="F58" i="1" s="1"/>
  <c r="F56" i="1" s="1"/>
</calcChain>
</file>

<file path=xl/sharedStrings.xml><?xml version="1.0" encoding="utf-8"?>
<sst xmlns="http://schemas.openxmlformats.org/spreadsheetml/2006/main" count="336" uniqueCount="273">
  <si>
    <t>Перечень инвестиционных проектов на 2023-2024 гг. ПАО "Костромская сбытовая компания" (корректировка)</t>
  </si>
  <si>
    <t>№ п/п</t>
  </si>
  <si>
    <t>Наименование инвестиционного проекта</t>
  </si>
  <si>
    <t>Обосновывающие документы</t>
  </si>
  <si>
    <t>Идентификатор ИП</t>
  </si>
  <si>
    <t>Примечание</t>
  </si>
  <si>
    <t>Всего по инвестиционной программе ПАО "КСК", тыс. руб. без НДС</t>
  </si>
  <si>
    <t>I</t>
  </si>
  <si>
    <t>Реконструкция офисных зданий</t>
  </si>
  <si>
    <t>1.1.</t>
  </si>
  <si>
    <t>Проведение реконструкции офисного здания и помещений представительства, гаража по адресу:  п. Сусанино, ул. К.Маркса, д. 20</t>
  </si>
  <si>
    <t>L_KSK_1.2</t>
  </si>
  <si>
    <t>1.1.1</t>
  </si>
  <si>
    <t>Реконструкция (капитальный ремонт) здания :цоколя, устройство бетонного пола гаража</t>
  </si>
  <si>
    <t>Сметный расчет 10-1 (4кв. 2022.)без НДС</t>
  </si>
  <si>
    <t>перенос на 2024 (актуализация сметного расчета), рост на дефлятор на 2024 год</t>
  </si>
  <si>
    <t>1.1.2</t>
  </si>
  <si>
    <t>Реконструкция помещений представительства, систем водоснабжения, освещения</t>
  </si>
  <si>
    <t>Сметный расчет 10-2 (4кв. 2022.)без НДС</t>
  </si>
  <si>
    <t>перенос на 2023 (актуализация сметного расчета)</t>
  </si>
  <si>
    <t>1.2.</t>
  </si>
  <si>
    <t>Проведение реконструкции помещений офисного здания представительства по адресу:  г. Нея, ул. Любимова, д. 90</t>
  </si>
  <si>
    <t>L_KSK_1.4</t>
  </si>
  <si>
    <t>1.2.1.</t>
  </si>
  <si>
    <t>Сметный расчет 9-1 (4кв. 2022.)без НДС</t>
  </si>
  <si>
    <t>1.3.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</si>
  <si>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</si>
  <si>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</si>
  <si>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1.3.1</t>
  </si>
  <si>
    <t>Замена полов</t>
  </si>
  <si>
    <t>Сметный расчет 8-1 (4кв. 2022.)без НДС</t>
  </si>
  <si>
    <t>1.4.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</si>
  <si>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</si>
  <si>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</si>
  <si>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1.4.1</t>
  </si>
  <si>
    <t>Капитальный ремонт отмостки, бетонного крыльца здания</t>
  </si>
  <si>
    <t>Сметный расчет 7-1 (4кв. 2022.)без НДС</t>
  </si>
  <si>
    <t>актуализация сметного расчета</t>
  </si>
  <si>
    <t>1.5.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</si>
  <si>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</si>
  <si>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</si>
  <si>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1.5.1.</t>
  </si>
  <si>
    <t>Капитальный ремонт  цоколя фасада здания, замена отмостки.</t>
  </si>
  <si>
    <t>Сметный расчет 4-1 (4кв. 2022.)без НДС</t>
  </si>
  <si>
    <t>1.6.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</si>
  <si>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</si>
  <si>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L_KSK_1.10</t>
  </si>
  <si>
    <t>1.6.1.</t>
  </si>
  <si>
    <t>Монтаж ограждения территории</t>
  </si>
  <si>
    <t>уточнение стоимости работ согласно актуальному КП</t>
  </si>
  <si>
    <t>1.7.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</si>
  <si>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</si>
  <si>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>L_KSK_1.12</t>
  </si>
  <si>
    <t>1.7.1</t>
  </si>
  <si>
    <t>Сметный расчет 15 (4кв. 2022.)без НДС</t>
  </si>
  <si>
    <t>1.7.2</t>
  </si>
  <si>
    <t>Капитальный ремонт фасадов</t>
  </si>
  <si>
    <t>1.8.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</si>
  <si>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</si>
  <si>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</si>
  <si>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1.8.1</t>
  </si>
  <si>
    <t>1.8.2</t>
  </si>
  <si>
    <t>Монтаж ОПС</t>
  </si>
  <si>
    <t>Сметный расчет(УСН)(1/2)</t>
  </si>
  <si>
    <t>1.9.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</si>
  <si>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</si>
  <si>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</si>
  <si>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>1.9.1</t>
  </si>
  <si>
    <t>Перенос части работ с 2024 на 2023 год</t>
  </si>
  <si>
    <t>Замена окон</t>
  </si>
  <si>
    <t>1.9.2</t>
  </si>
  <si>
    <t>Перенос с 2024 на 2023 год (актуальное КП)</t>
  </si>
  <si>
    <t>1.10</t>
  </si>
  <si>
    <t>Проведение реконструкции офисного здания и помещений представительства по адресу:  г. Судиславль, ул.Комсомольская, д.18А</t>
  </si>
  <si>
    <t>L_KSK_1.3</t>
  </si>
  <si>
    <t>Проведение капитального ремонта помещения (замена пола,монтаж/демонтаж алюминиевого профиля), замена двери ПВХ</t>
  </si>
  <si>
    <t>акт ИП Михайлов Ф.Ю., договор (УСН), договор ООО "Фабрика окон" (ОСН) профиль - 17 тыс. руб. (с НДС), дверь - 19,8 тыс.руб.( с НДС)</t>
  </si>
  <si>
    <t>Замена входной двери</t>
  </si>
  <si>
    <t>КП ЗАО "Полимерстройсервис" от 02.03.2023 (УСН)</t>
  </si>
  <si>
    <t>Изготовление и монтаж навеса</t>
  </si>
  <si>
    <t>КП ООО "Основание" от 01.03.2023 (УСН)</t>
  </si>
  <si>
    <t>1.11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</si>
  <si>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</si>
  <si>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</si>
  <si>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Газификация офисного здания</t>
  </si>
  <si>
    <t>ООО "ГазСтрой" проект договора (УСН)</t>
  </si>
  <si>
    <t>1.12</t>
  </si>
  <si>
    <t>Проведение реконструкции офисного здания и помещений по адресу: г. Кострома, пр-кт Мира, д. 37-39/28</t>
  </si>
  <si>
    <t>L_KSK_1.1</t>
  </si>
  <si>
    <t>Монтаж системы конциционирования</t>
  </si>
  <si>
    <t xml:space="preserve">II </t>
  </si>
  <si>
    <t>Покупка транспортных средств</t>
  </si>
  <si>
    <t>2.1.</t>
  </si>
  <si>
    <t>L_KSK_3.1</t>
  </si>
  <si>
    <t>III</t>
  </si>
  <si>
    <t>3.1.</t>
  </si>
  <si>
    <t>L_KSK_3.7</t>
  </si>
  <si>
    <t>IV</t>
  </si>
  <si>
    <t xml:space="preserve">Создание интеллектуальной системы учета электрической энергии (мощности) в многоквартирных домах                                                                                                                                                                    </t>
  </si>
  <si>
    <t>L_KSK_5.1</t>
  </si>
  <si>
    <t>Источник</t>
  </si>
  <si>
    <t>Амортизация в НВВ сбыт</t>
  </si>
  <si>
    <t>Капитальные вложения из прибыли в НВВ</t>
  </si>
  <si>
    <t>Прочая амортизация</t>
  </si>
  <si>
    <t>Итого по ИП, без НДС, тыс.руб.</t>
  </si>
  <si>
    <t>Применение дефляторов и индексов в программе</t>
  </si>
  <si>
    <t>https://www.economy.gov.ru/material/directions/makroec/prognozy_socialno_ekonomicheskogo_razvitiya/prognoz_socialno_ekonomicheskogo_razvitiya_rossiyskoy_federacii_na_2023_god_i_na_planovyy_period_2024_i_2025_godov.html</t>
  </si>
  <si>
    <t>Прогноз социально-экономического развития Российской Федерации на 2023 год и на плановый период 2024 и 2025 годов  от 28.09.2022 (базовый)</t>
  </si>
  <si>
    <t xml:space="preserve">Наименование </t>
  </si>
  <si>
    <t>Индексы -дефляторы Министерства экономического развития  по строке ("Инвестиции в основной капитал")</t>
  </si>
  <si>
    <t>1.10.1</t>
  </si>
  <si>
    <t>1.10.2</t>
  </si>
  <si>
    <t>1.10.3</t>
  </si>
  <si>
    <t>Покупка персональных компьютеров с мониторами: ПК Lenovo c Windows 10 pro64, монитор  (90 комплектов на год)</t>
  </si>
  <si>
    <t>2024 корр.</t>
  </si>
  <si>
    <t>2023 корр.</t>
  </si>
  <si>
    <t>Покупка автомобилей LADA Niva (6ед. )</t>
  </si>
  <si>
    <t xml:space="preserve">КП АО Кострома-Лада-Сервис (базовый вариант) </t>
  </si>
  <si>
    <t>ООО "Первая Кровельная" договор + КП от 27 марта 2023 г.УСН-работы 77,960 тыс.руб., КП от 27.03.2023 (материалы) ООО "ЦентрСнаб" - 79,64860 тыс. руб. (с НДС)</t>
  </si>
  <si>
    <t>КП № 74 от 05.04.2023 Группа компаний "Панда" УСН (мин.стоимость)</t>
  </si>
  <si>
    <t>Сметный расчет 2-1 (2023),2-1-1 (2024)(4кв. 2022.)без НДС, КП ООО "Фабрика окон" (ОСН)(2023)</t>
  </si>
  <si>
    <t>Реконструкция помещений офисного здания: перепланировка помещений, замена полов, реконструкция системы освещения, замена дверей</t>
  </si>
  <si>
    <t>Благоустройство территории (оборудование автостоянки на прилегающей территории) офисного здания  представительства по адресу: г. Шарья, ул. Центральная, д. 13 (1/2)</t>
  </si>
  <si>
    <t>Сметный расчет 1-1(2023), 1-В (2024)(4кв. 2022.)без НДС</t>
  </si>
  <si>
    <t>Реконструкция помещений офисного здания: перепланировка помещений, замена покрытия полов, востановление стяжки пола, замена дверей, реконструкция системы водопровода,  канализации, освещения, реконструкция входной группы,монтаж ОПС,устройство системы видеонаблюдения</t>
  </si>
  <si>
    <t>N_KSK_3.8</t>
  </si>
  <si>
    <t>N_KSK_3.9</t>
  </si>
  <si>
    <t>N_KSK_3.10</t>
  </si>
  <si>
    <t>Покупка серверного оборудования</t>
  </si>
  <si>
    <t>Покупка персональных компьютеров (ПК  c Windows 10 pro64, монитор, клавиатура+мышь)</t>
  </si>
  <si>
    <t>Покупка многофункциональных устройств</t>
  </si>
  <si>
    <t>Покупка сетевого оборудования(маршрутизатор Mikrotik)</t>
  </si>
  <si>
    <t>3.2</t>
  </si>
  <si>
    <t>3.3</t>
  </si>
  <si>
    <t>3.4</t>
  </si>
  <si>
    <t>N_KSK_3.11</t>
  </si>
  <si>
    <t>30 комплетов на 2023 год, 60 комплектов на 2024 год</t>
  </si>
  <si>
    <t>1 шт. - 2023 год</t>
  </si>
  <si>
    <t>перенос 3 шт. с 2023 на 2024 с целью включения более приоритетных меропритяий по реконструкции в 2023 году (на 2024-6 ед.)</t>
  </si>
  <si>
    <t>2023-1 компл., 2024-1 компл.</t>
  </si>
  <si>
    <t>2023-1 шт., 2024 - 3 шт.</t>
  </si>
  <si>
    <t>добавлено мероприятие, производственная необходимость</t>
  </si>
  <si>
    <t>уточнение необходимых объемов и стоимости работ</t>
  </si>
  <si>
    <t>перенос на более поздний срок</t>
  </si>
  <si>
    <t>3.5</t>
  </si>
  <si>
    <t>ООО "Точка Комп"(мин.цена) счет № 732 от 16.03.2023 ,счет № 1020 от 04.04.2023 - ОСН</t>
  </si>
  <si>
    <t>Счет № 279 от 1 февраля 2023 г. ИП Галкина А.В. (мин.цена)</t>
  </si>
  <si>
    <t>2023 утверждено, без НДС</t>
  </si>
  <si>
    <t>2023 корректировка, без НДС</t>
  </si>
  <si>
    <t>2024 утверждено, без НДС</t>
  </si>
  <si>
    <t>2024 корректировка, без НДС</t>
  </si>
  <si>
    <t>договор  СК ПрофКом ООО, КП (ОСН, сч-ф.1 от 19.01.202)</t>
  </si>
  <si>
    <t>2023 с НДС</t>
  </si>
  <si>
    <t>2024 с НДС</t>
  </si>
  <si>
    <t>Приложение № 2.2</t>
  </si>
  <si>
    <t xml:space="preserve">Создание интеллектуальной системы учета электрической энергии (мощности) в многоквартирных домах      (L_KSK_5.1)                                                                                                                                                             </t>
  </si>
  <si>
    <t>Наименование мероприятия проекта</t>
  </si>
  <si>
    <t>Расходы на 1 единицу согласно КП (сметному расчету) с учетом НДС, руб.</t>
  </si>
  <si>
    <t>Количество приборов, оборудования (материалов), шт.(ед.) план на 2023 год</t>
  </si>
  <si>
    <t>Финансовая потребность, тыс. руб. без учета НДС</t>
  </si>
  <si>
    <t>Финансовая потребность, тыс. руб. с НДС</t>
  </si>
  <si>
    <t>Примечание (обоснование)</t>
  </si>
  <si>
    <t>1.</t>
  </si>
  <si>
    <t>Расходы на приобретение приборов учета и оборудования, сответствующих требованиям законодательтва (Правила мин.функционала ИСУ, ПП РФ от 19.06.2020 N890)</t>
  </si>
  <si>
    <t>Каналообразующее оборудование (УСПД МИРТ-881)</t>
  </si>
  <si>
    <t>Исключены ввиду отстутвия источников финансирования</t>
  </si>
  <si>
    <t>Каналообразующее оборудование (Ретранслятор МИРТ-182)</t>
  </si>
  <si>
    <t xml:space="preserve">2. </t>
  </si>
  <si>
    <t>Шкафы для УСПД (расходы на работы по установке и расходные материалы)</t>
  </si>
  <si>
    <t>Исключены  -  отсутствует источник финансирования на 2023 год (отказ от УСПД ввиду необходимости установки ОДП)</t>
  </si>
  <si>
    <t>Работы по сборке, установке и подключению шкафа УСПД (сметный расчет в ценах 3 кв. 2022), без учета стоимости материалов</t>
  </si>
  <si>
    <t>2.2.</t>
  </si>
  <si>
    <t xml:space="preserve">Материалы для сбора и установки шкафов УСПД </t>
  </si>
  <si>
    <t>2.2.1</t>
  </si>
  <si>
    <t>Корпус пластиковый ЩМП-П
600х400х200мм УХЛ1 IP65 IK10
box604020_g ЭРА Б0052369</t>
  </si>
  <si>
    <t>2.2.2</t>
  </si>
  <si>
    <t>Выключатель автоматический
модульный 2п C 6А 4.5кА ВА47-29
IEK MVA20-2-006-C</t>
  </si>
  <si>
    <t>2.2.3</t>
  </si>
  <si>
    <t>Реле напряжения РН-104 1ф
НовАтек-Электро 3425600114</t>
  </si>
  <si>
    <t>2.2.4</t>
  </si>
  <si>
    <t>DIN-рейка L200 оцинк. IEK YDN10-
0020</t>
  </si>
  <si>
    <t>2.2.5</t>
  </si>
  <si>
    <t>Провод ПуГВ 1х6 Б 450/750В (бухта)
(м) ЭЛЕКТРОКАБЕЛЬ НН 00-
00007449</t>
  </si>
  <si>
    <t>2.2.6</t>
  </si>
  <si>
    <t>Розетка силовая РАр10-3-ОП с
заземл. на DIN-рейку IEK MRD10-16</t>
  </si>
  <si>
    <t>2.2.7</t>
  </si>
  <si>
    <t>Шина PE "земля" на DIN-изол. ШНИ-
8х12-10-Д-Ж IEK YNN10-812-10D-K05</t>
  </si>
  <si>
    <t>2.2.8</t>
  </si>
  <si>
    <t>Шина нулевая на DIN-изол. ШНИ-
8х12-10-Д-С IEK YNN10-812-10D-K07</t>
  </si>
  <si>
    <t>2.2.9</t>
  </si>
  <si>
    <t>Ограничитель перенапряжения
ОПС1-B 1P IEK MOP20-1-B</t>
  </si>
  <si>
    <t>2.2.10</t>
  </si>
  <si>
    <t>Кабель ВВГ-Пнг(А)-LS 3х2.5 ОК (N
PE) 0.66кВ (уп.100м) Монэл
020002302</t>
  </si>
  <si>
    <t>1. Количество однофазных приборов учета запланировано с учетом ограниченных источников финансирования на 2023 год в границах установленного предельно допустимого роста тарифов для населения</t>
  </si>
  <si>
    <t>2. Количество общедомовых (трехфазных) приборов обусловлено необходимостью формирования ИСУ (запланировано с учетом ограниченных источников финансирования на 2023 год в границах установленного предельно допустимого роста тарифов для населения)</t>
  </si>
  <si>
    <t>План расходов на 2023 год (корректировка)</t>
  </si>
  <si>
    <t>Расходы на 1 единицу согласно КП и договору с учетом НДС, руб.</t>
  </si>
  <si>
    <t xml:space="preserve">Итого расходы на 2023 год </t>
  </si>
  <si>
    <t>Установка (замена)  однофазных прибор учета  (МИРТЕК-12-РУ-W9-A1R1-230-5-80A-ST-RF433/1-P2-HKLMOV3-D)</t>
  </si>
  <si>
    <t>Установка (замена)  однофазных прибор учета (МИРТЕК-12-РУ-D1-A1R1-230-5-60A-ST-RF433/1-P2-HKLMOQ2V3-D)</t>
  </si>
  <si>
    <t>Установка (замена)  однофазных прибор учета (МИРТЕК-12-РУ-W9-A1R1-230-5-80A-ST-G/5-P2-HKLMOV3-D)</t>
  </si>
  <si>
    <t>Установка (замена) трехфазных приборов учета (МИРТЕК-32-РУ-W32-A1R1-230-5-100A-T-RS485-G/5-P2-HLMOQ2V3Z-D)</t>
  </si>
  <si>
    <t>Установка (замена) трехфазных приборов учета (МИРТЕК-32-РУ-W32-A1R1-230-5-10A-Т-RS485-G/5-P2-HLMOQ2V3Z-D)</t>
  </si>
  <si>
    <t xml:space="preserve"> Договор поставки 04-2/44(2023) на 2023 год от 27.02.2023 ООО "Пересвет"</t>
  </si>
  <si>
    <t>3. Расходы на приобретение приборов учета и  оборудования в п.1 включают только стоимость самих приборов учета и оборудования  без  расходов на установку, которые будут заявлены дополнительно (с учетом фактически понесенных расходов)</t>
  </si>
  <si>
    <t>Расходы на приобретение приборов учета и каналообразующего оборудования, сответствующих требованиям законодательтва (Правила мин.функционала ИСУ, ПП РФ от 19.06.2020 N890)</t>
  </si>
  <si>
    <t>Факт 2021</t>
  </si>
  <si>
    <t>План расходов на 2024 год</t>
  </si>
  <si>
    <t>Приложение № 2.1</t>
  </si>
  <si>
    <t>Работы по сборке, установке и подключению шкафа УСПД (сметный расчет в ценах 4 кв. 2022), без учета стоимости материалов</t>
  </si>
  <si>
    <t>сметный расчет в ценах 4 кв. 2022 года</t>
  </si>
  <si>
    <t xml:space="preserve">2. Количество общедомовых (трехфазных) приборов и устройств передачи данных, ретрансляторов обусловлено необходимость обеспечения  части потребителей с установленными интеллектуальными приборами учета доступа в регламентированные законом  сроки к минимальному набору функций интеллектуальной системы учета электрической энергии </t>
  </si>
  <si>
    <t>2022 (факт)</t>
  </si>
  <si>
    <t>3. Расходы на приобретение приборов учета и каналообразующего оборудования в п.1 включают только стоимость самих приборов учета и оборудования  без  расходов на установку. С целью минимизации расходов установка приборов будет проведена собственными силами - подразделением Энергоинспекция, созданного непосредственно для выполнения требований по организации ИСУ, расходы на установку в случае невключения в НВВ будут заявлены по факту</t>
  </si>
  <si>
    <t>Количество приборов, оборудования (материалов), шт.(ед.) план на 2024 год</t>
  </si>
  <si>
    <t>с учетом дефлятора на 2024 год</t>
  </si>
  <si>
    <t>Расходы на 2024 год с учетом дефлятора 2024 года</t>
  </si>
  <si>
    <t>Итого расходы на 2024 год ( в ценах 2023 года )</t>
  </si>
  <si>
    <t>Материалы для сбора и установки шкафов УСПД (для установки 302 ед.)</t>
  </si>
  <si>
    <t xml:space="preserve">Количество однофазных приборов учета </t>
  </si>
  <si>
    <t>Антропово</t>
  </si>
  <si>
    <t>Боговарово</t>
  </si>
  <si>
    <t>Буй</t>
  </si>
  <si>
    <t>Волгореченск</t>
  </si>
  <si>
    <t>Вохма</t>
  </si>
  <si>
    <t>Галич</t>
  </si>
  <si>
    <t>Кадый</t>
  </si>
  <si>
    <t>Кологрив</t>
  </si>
  <si>
    <t>Кострома</t>
  </si>
  <si>
    <t>Красное</t>
  </si>
  <si>
    <t>Макарьев</t>
  </si>
  <si>
    <t>Мантурово</t>
  </si>
  <si>
    <t>Межа</t>
  </si>
  <si>
    <t>Нерехта</t>
  </si>
  <si>
    <t>Нея</t>
  </si>
  <si>
    <t>Островское</t>
  </si>
  <si>
    <t>Павино</t>
  </si>
  <si>
    <t xml:space="preserve">Парфеньево </t>
  </si>
  <si>
    <t>Паназырево</t>
  </si>
  <si>
    <t>Пыщуг</t>
  </si>
  <si>
    <t>Рождество</t>
  </si>
  <si>
    <t>Солигалич</t>
  </si>
  <si>
    <t>Судиславль</t>
  </si>
  <si>
    <t>Сусанино</t>
  </si>
  <si>
    <t>Чухлома</t>
  </si>
  <si>
    <t>Шарья</t>
  </si>
  <si>
    <t>Итог по области</t>
  </si>
  <si>
    <t>Всего приборов индивидуальных (в МКД от 2 квартир и общежития)</t>
  </si>
  <si>
    <t>Общее количество индивидуальных приборов учета потребителей гарантирующего поставщика</t>
  </si>
  <si>
    <t>2024 план (с учетом истечения)  МПИ</t>
  </si>
  <si>
    <t>Квартиры (индивидуальные приборы)</t>
  </si>
  <si>
    <t>2021 (с учетом истечения МПИ)</t>
  </si>
  <si>
    <t>2022 (с учетом истечения МПИ)</t>
  </si>
  <si>
    <t>2023 (с учетом истечения МПИ)</t>
  </si>
  <si>
    <t>Аварийные замены 2024 (из факта аварийных замен за 2021-2022 гг.)</t>
  </si>
  <si>
    <t xml:space="preserve">Итого в план на 2024 с целью исполнения требований законодательства </t>
  </si>
  <si>
    <t>Однофазные приборы по плану замены (год истечения МПИ), шт.</t>
  </si>
  <si>
    <t>Колво ПУ однофазных</t>
  </si>
  <si>
    <t>Расчет количества УСПД, необходимых для создания ИСУ</t>
  </si>
  <si>
    <t>Рассчет количества УСПД (количество обусловлено необходимостью обеспечения доступа потребителей с установленными интеллектуальными приборами учета к минимальному набору функций ИСУ)</t>
  </si>
  <si>
    <t xml:space="preserve">Количество ПУ на 1 УСПД по ППРФ №890 Раздел 4 Пункт 37 </t>
  </si>
  <si>
    <t>Установлено УСПД за 2022 год</t>
  </si>
  <si>
    <t>Расчетное количество УСПД (минимальное) для организации доступа к мин.набору функций ИСУ к установке ( с учетом устанволенных в 2022 году)</t>
  </si>
  <si>
    <t>Стоимость оборудования  на основании КП ООО ТД "МИРТЕК"   Н406/1 27.01.2023,  количество обусловлено необходимостью обеспечения доступа потребителей с установленными интеллектуальными приборами учета к минимальному набору функций ИСУ</t>
  </si>
  <si>
    <t>Приложение № 1</t>
  </si>
  <si>
    <t>необходимость исполнения требований законодательства (исполнение обязанностей гарантирующего поставщика, возникающих в связи с принятием Федерального закона от 27.12.2018 № 522-ФЗ)</t>
  </si>
  <si>
    <t>КП,договор</t>
  </si>
  <si>
    <t>Расходы включают только стоимость самих приборов учета на основании КП ООО ТД "МИРТЕК" Н406/1 от 27.01.2023 и договора  04-2/44(2023) на 2023 год от 27.02.2023 с ООО "Пересвет"(без  расходов на установку, с целью минимизации расходов установка приборов будет проведена собственными силами подразделением Энергоинспекция, созданного непосредственно для выполнения требований по организации ИСУ)</t>
  </si>
  <si>
    <t>Покупка серверного и сетевого оборудования, МФУ и персональных компьютеров</t>
  </si>
  <si>
    <t>Стоимость материалов на основании счета ООО "Электропоставка" № 37857809 от 26.05.2023 (минимально по анализу полученных КП)</t>
  </si>
  <si>
    <t>Провод ПуГВ 1х6 Б 450/750В (бухта)
(м) ЭЛЕКТРОКАБЕЛЬ НН 000010427</t>
  </si>
  <si>
    <t>1. Количество однофазных приборов учета запланировано с учетом истечения МПИ в период 2021-2024 гг. (ранее производились только аварийные замены) и количества фактически поступающих заявок от потребителей о выходе из строя индивидуальных приборов учета (реестры прилагаются дополнительно)</t>
  </si>
  <si>
    <t>Реконструкция стен, замена внутренних дверей в помещениях, замена покрытия полов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</si>
</sst>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\ &quot;₽&quot;"/>
    <numFmt numFmtId="166" formatCode="0.0000"/>
    <numFmt numFmtId="167" formatCode="0.000000"/>
    <numFmt numFmtId="168" formatCode="#,##0.000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FFFF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14" fillId="0" borderId="0"/>
    <xf numFmtId="0" fontId="1" fillId="0" borderId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4" fontId="0" fillId="0" borderId="0" xfId="0" applyNumberFormat="1"/>
    <xf numFmtId="4" fontId="3" fillId="4" borderId="1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4" fontId="7" fillId="0" borderId="1" xfId="0" applyNumberFormat="1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4" fontId="3" fillId="0" borderId="8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2" applyNumberFormat="1" applyFont="1" applyAlignment="1">
      <alignment vertical="center" wrapText="1"/>
    </xf>
    <xf numFmtId="49" fontId="3" fillId="0" borderId="1" xfId="2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165" fontId="4" fillId="5" borderId="8" xfId="0" applyNumberFormat="1" applyFont="1" applyFill="1" applyBorder="1" applyAlignment="1">
      <alignment horizontal="left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0" xfId="3"/>
    <xf numFmtId="0" fontId="4" fillId="0" borderId="0" xfId="4" applyFont="1" applyAlignment="1">
      <alignment horizontal="right" vertical="top"/>
    </xf>
    <xf numFmtId="0" fontId="16" fillId="0" borderId="0" xfId="5" applyFont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 wrapText="1"/>
    </xf>
    <xf numFmtId="0" fontId="19" fillId="0" borderId="0" xfId="3" applyFont="1"/>
    <xf numFmtId="49" fontId="4" fillId="7" borderId="1" xfId="3" applyNumberFormat="1" applyFont="1" applyFill="1" applyBorder="1" applyAlignment="1">
      <alignment horizontal="center"/>
    </xf>
    <xf numFmtId="0" fontId="15" fillId="7" borderId="1" xfId="3" applyFont="1" applyFill="1" applyBorder="1" applyAlignment="1">
      <alignment horizontal="left" vertical="center" wrapText="1"/>
    </xf>
    <xf numFmtId="0" fontId="20" fillId="7" borderId="1" xfId="3" applyFont="1" applyFill="1" applyBorder="1" applyAlignment="1">
      <alignment horizontal="center" vertical="center" wrapText="1"/>
    </xf>
    <xf numFmtId="4" fontId="15" fillId="7" borderId="1" xfId="3" applyNumberFormat="1" applyFont="1" applyFill="1" applyBorder="1" applyAlignment="1">
      <alignment horizontal="center" vertical="center" wrapText="1"/>
    </xf>
    <xf numFmtId="0" fontId="17" fillId="7" borderId="1" xfId="3" applyFont="1" applyFill="1" applyBorder="1" applyAlignment="1">
      <alignment horizontal="center" vertical="center" wrapText="1"/>
    </xf>
    <xf numFmtId="167" fontId="13" fillId="0" borderId="0" xfId="3" applyNumberFormat="1"/>
    <xf numFmtId="49" fontId="21" fillId="0" borderId="1" xfId="3" applyNumberFormat="1" applyFont="1" applyBorder="1" applyAlignment="1">
      <alignment horizontal="center"/>
    </xf>
    <xf numFmtId="0" fontId="18" fillId="0" borderId="1" xfId="3" applyFont="1" applyBorder="1" applyAlignment="1">
      <alignment wrapText="1"/>
    </xf>
    <xf numFmtId="4" fontId="17" fillId="0" borderId="1" xfId="3" applyNumberFormat="1" applyFont="1" applyBorder="1" applyAlignment="1">
      <alignment horizontal="center" vertical="center"/>
    </xf>
    <xf numFmtId="4" fontId="13" fillId="0" borderId="0" xfId="3" applyNumberFormat="1"/>
    <xf numFmtId="0" fontId="17" fillId="0" borderId="1" xfId="3" applyFont="1" applyBorder="1" applyAlignment="1">
      <alignment wrapText="1"/>
    </xf>
    <xf numFmtId="0" fontId="22" fillId="0" borderId="1" xfId="3" applyFont="1" applyBorder="1" applyAlignment="1">
      <alignment horizontal="center" vertical="center"/>
    </xf>
    <xf numFmtId="0" fontId="15" fillId="7" borderId="1" xfId="3" applyFont="1" applyFill="1" applyBorder="1" applyAlignment="1">
      <alignment wrapText="1"/>
    </xf>
    <xf numFmtId="4" fontId="20" fillId="7" borderId="1" xfId="3" applyNumberFormat="1" applyFont="1" applyFill="1" applyBorder="1" applyAlignment="1">
      <alignment horizontal="center" vertical="center"/>
    </xf>
    <xf numFmtId="0" fontId="15" fillId="7" borderId="1" xfId="3" applyFont="1" applyFill="1" applyBorder="1" applyAlignment="1">
      <alignment horizontal="center" vertical="center"/>
    </xf>
    <xf numFmtId="4" fontId="15" fillId="7" borderId="1" xfId="3" applyNumberFormat="1" applyFont="1" applyFill="1" applyBorder="1" applyAlignment="1">
      <alignment horizontal="center" vertical="center"/>
    </xf>
    <xf numFmtId="164" fontId="17" fillId="7" borderId="1" xfId="3" applyNumberFormat="1" applyFont="1" applyFill="1" applyBorder="1" applyAlignment="1">
      <alignment horizontal="left" vertical="center" wrapText="1"/>
    </xf>
    <xf numFmtId="164" fontId="17" fillId="0" borderId="1" xfId="3" applyNumberFormat="1" applyFont="1" applyBorder="1" applyAlignment="1">
      <alignment horizontal="center" vertical="center"/>
    </xf>
    <xf numFmtId="4" fontId="22" fillId="0" borderId="1" xfId="3" applyNumberFormat="1" applyFont="1" applyBorder="1" applyAlignment="1">
      <alignment horizontal="center" vertical="center"/>
    </xf>
    <xf numFmtId="0" fontId="23" fillId="0" borderId="1" xfId="3" applyFont="1" applyBorder="1" applyAlignment="1">
      <alignment horizontal="left" wrapText="1"/>
    </xf>
    <xf numFmtId="0" fontId="15" fillId="7" borderId="1" xfId="3" applyFont="1" applyFill="1" applyBorder="1"/>
    <xf numFmtId="0" fontId="20" fillId="7" borderId="1" xfId="3" applyFont="1" applyFill="1" applyBorder="1"/>
    <xf numFmtId="4" fontId="15" fillId="7" borderId="1" xfId="3" applyNumberFormat="1" applyFont="1" applyFill="1" applyBorder="1" applyAlignment="1">
      <alignment horizontal="center"/>
    </xf>
    <xf numFmtId="164" fontId="22" fillId="7" borderId="1" xfId="3" applyNumberFormat="1" applyFont="1" applyFill="1" applyBorder="1" applyAlignment="1">
      <alignment horizontal="center"/>
    </xf>
    <xf numFmtId="0" fontId="17" fillId="0" borderId="0" xfId="3" applyFont="1"/>
    <xf numFmtId="0" fontId="14" fillId="0" borderId="0" xfId="5"/>
    <xf numFmtId="0" fontId="24" fillId="0" borderId="0" xfId="6" applyFont="1" applyAlignment="1">
      <alignment horizontal="center" vertical="center" wrapText="1"/>
    </xf>
    <xf numFmtId="0" fontId="25" fillId="0" borderId="2" xfId="3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/>
    </xf>
    <xf numFmtId="0" fontId="25" fillId="0" borderId="3" xfId="3" applyFont="1" applyBorder="1" applyAlignment="1">
      <alignment horizontal="center" vertical="center" wrapText="1"/>
    </xf>
    <xf numFmtId="0" fontId="26" fillId="0" borderId="4" xfId="3" applyFont="1" applyBorder="1" applyAlignment="1">
      <alignment horizontal="center" vertical="center" wrapText="1"/>
    </xf>
    <xf numFmtId="0" fontId="27" fillId="0" borderId="0" xfId="3" applyFont="1"/>
    <xf numFmtId="49" fontId="4" fillId="2" borderId="5" xfId="3" applyNumberFormat="1" applyFont="1" applyFill="1" applyBorder="1" applyAlignment="1">
      <alignment horizontal="center"/>
    </xf>
    <xf numFmtId="0" fontId="9" fillId="2" borderId="1" xfId="3" applyFont="1" applyFill="1" applyBorder="1" applyAlignment="1">
      <alignment horizontal="left" vertical="center" wrapText="1"/>
    </xf>
    <xf numFmtId="0" fontId="28" fillId="2" borderId="1" xfId="3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center" vertical="center" wrapText="1"/>
    </xf>
    <xf numFmtId="0" fontId="25" fillId="2" borderId="6" xfId="3" applyFont="1" applyFill="1" applyBorder="1" applyAlignment="1">
      <alignment horizontal="center" vertical="center" wrapText="1"/>
    </xf>
    <xf numFmtId="49" fontId="21" fillId="0" borderId="5" xfId="3" applyNumberFormat="1" applyFont="1" applyBorder="1" applyAlignment="1">
      <alignment horizontal="center"/>
    </xf>
    <xf numFmtId="4" fontId="25" fillId="0" borderId="1" xfId="3" applyNumberFormat="1" applyFont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0" fontId="25" fillId="0" borderId="1" xfId="3" applyFont="1" applyBorder="1" applyAlignment="1">
      <alignment wrapText="1"/>
    </xf>
    <xf numFmtId="0" fontId="29" fillId="0" borderId="1" xfId="3" applyFont="1" applyBorder="1" applyAlignment="1">
      <alignment horizontal="center" vertical="center"/>
    </xf>
    <xf numFmtId="0" fontId="9" fillId="2" borderId="1" xfId="3" applyFont="1" applyFill="1" applyBorder="1" applyAlignment="1">
      <alignment wrapText="1"/>
    </xf>
    <xf numFmtId="4" fontId="28" fillId="2" borderId="1" xfId="3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4" fontId="9" fillId="2" borderId="1" xfId="3" applyNumberFormat="1" applyFont="1" applyFill="1" applyBorder="1" applyAlignment="1">
      <alignment horizontal="center" vertical="center"/>
    </xf>
    <xf numFmtId="164" fontId="25" fillId="2" borderId="6" xfId="3" applyNumberFormat="1" applyFont="1" applyFill="1" applyBorder="1" applyAlignment="1">
      <alignment horizontal="center" vertical="center"/>
    </xf>
    <xf numFmtId="164" fontId="25" fillId="0" borderId="6" xfId="3" applyNumberFormat="1" applyFont="1" applyBorder="1" applyAlignment="1">
      <alignment horizontal="center" vertical="center"/>
    </xf>
    <xf numFmtId="4" fontId="29" fillId="0" borderId="1" xfId="3" applyNumberFormat="1" applyFont="1" applyBorder="1" applyAlignment="1">
      <alignment horizontal="center" vertical="center"/>
    </xf>
    <xf numFmtId="0" fontId="30" fillId="0" borderId="1" xfId="3" applyFont="1" applyBorder="1" applyAlignment="1">
      <alignment horizontal="left" wrapText="1"/>
    </xf>
    <xf numFmtId="0" fontId="9" fillId="2" borderId="1" xfId="3" applyFont="1" applyFill="1" applyBorder="1"/>
    <xf numFmtId="0" fontId="28" fillId="2" borderId="1" xfId="3" applyFont="1" applyFill="1" applyBorder="1"/>
    <xf numFmtId="4" fontId="9" fillId="2" borderId="1" xfId="3" applyNumberFormat="1" applyFont="1" applyFill="1" applyBorder="1" applyAlignment="1">
      <alignment horizontal="center"/>
    </xf>
    <xf numFmtId="164" fontId="29" fillId="2" borderId="6" xfId="3" applyNumberFormat="1" applyFont="1" applyFill="1" applyBorder="1" applyAlignment="1">
      <alignment horizontal="center"/>
    </xf>
    <xf numFmtId="0" fontId="9" fillId="2" borderId="5" xfId="3" applyFont="1" applyFill="1" applyBorder="1"/>
    <xf numFmtId="49" fontId="4" fillId="2" borderId="7" xfId="3" applyNumberFormat="1" applyFont="1" applyFill="1" applyBorder="1" applyAlignment="1">
      <alignment horizontal="center"/>
    </xf>
    <xf numFmtId="0" fontId="9" fillId="2" borderId="8" xfId="3" applyFont="1" applyFill="1" applyBorder="1"/>
    <xf numFmtId="0" fontId="28" fillId="2" borderId="8" xfId="3" applyFont="1" applyFill="1" applyBorder="1"/>
    <xf numFmtId="4" fontId="9" fillId="2" borderId="8" xfId="3" applyNumberFormat="1" applyFont="1" applyFill="1" applyBorder="1" applyAlignment="1">
      <alignment horizontal="center"/>
    </xf>
    <xf numFmtId="164" fontId="29" fillId="2" borderId="9" xfId="3" applyNumberFormat="1" applyFont="1" applyFill="1" applyBorder="1" applyAlignment="1">
      <alignment horizontal="center"/>
    </xf>
    <xf numFmtId="0" fontId="25" fillId="0" borderId="0" xfId="3" applyFont="1"/>
    <xf numFmtId="0" fontId="3" fillId="0" borderId="0" xfId="3" applyFont="1" applyAlignment="1">
      <alignment wrapText="1"/>
    </xf>
    <xf numFmtId="0" fontId="7" fillId="0" borderId="0" xfId="3" applyFont="1" applyAlignment="1">
      <alignment wrapText="1"/>
    </xf>
    <xf numFmtId="0" fontId="13" fillId="0" borderId="0" xfId="3" applyAlignment="1">
      <alignment wrapText="1"/>
    </xf>
    <xf numFmtId="0" fontId="10" fillId="0" borderId="0" xfId="1" applyAlignment="1">
      <alignment wrapText="1"/>
    </xf>
    <xf numFmtId="49" fontId="3" fillId="0" borderId="1" xfId="3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13" fillId="0" borderId="1" xfId="3" applyBorder="1" applyAlignment="1">
      <alignment horizontal="center" wrapText="1"/>
    </xf>
    <xf numFmtId="0" fontId="7" fillId="0" borderId="0" xfId="3" applyFont="1"/>
    <xf numFmtId="0" fontId="3" fillId="0" borderId="0" xfId="3" applyFont="1"/>
    <xf numFmtId="0" fontId="7" fillId="0" borderId="5" xfId="0" applyFont="1" applyBorder="1"/>
    <xf numFmtId="0" fontId="3" fillId="0" borderId="7" xfId="0" applyFont="1" applyBorder="1"/>
    <xf numFmtId="3" fontId="7" fillId="0" borderId="6" xfId="0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3" fontId="17" fillId="0" borderId="1" xfId="3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 wrapText="1"/>
    </xf>
    <xf numFmtId="0" fontId="0" fillId="0" borderId="2" xfId="0" applyBorder="1"/>
    <xf numFmtId="0" fontId="3" fillId="0" borderId="7" xfId="0" applyFont="1" applyBorder="1" applyAlignment="1">
      <alignment horizontal="left" vertical="center" wrapText="1"/>
    </xf>
    <xf numFmtId="3" fontId="7" fillId="0" borderId="9" xfId="0" applyNumberFormat="1" applyFont="1" applyBorder="1" applyAlignment="1">
      <alignment horizontal="center" vertical="center"/>
    </xf>
    <xf numFmtId="168" fontId="0" fillId="0" borderId="0" xfId="0" applyNumberFormat="1"/>
    <xf numFmtId="0" fontId="10" fillId="0" borderId="0" xfId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7" fillId="0" borderId="0" xfId="3" applyFont="1" applyAlignment="1">
      <alignment horizontal="left" wrapText="1"/>
    </xf>
    <xf numFmtId="164" fontId="17" fillId="0" borderId="10" xfId="3" applyNumberFormat="1" applyFont="1" applyBorder="1" applyAlignment="1">
      <alignment horizontal="center" vertical="center" wrapText="1"/>
    </xf>
    <xf numFmtId="164" fontId="17" fillId="0" borderId="11" xfId="3" applyNumberFormat="1" applyFont="1" applyBorder="1" applyAlignment="1">
      <alignment horizontal="center" vertical="center" wrapText="1"/>
    </xf>
    <xf numFmtId="164" fontId="17" fillId="0" borderId="12" xfId="3" applyNumberFormat="1" applyFont="1" applyBorder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  <xf numFmtId="0" fontId="16" fillId="0" borderId="0" xfId="5" applyFont="1" applyAlignment="1">
      <alignment horizontal="center" vertical="center" wrapText="1"/>
    </xf>
    <xf numFmtId="164" fontId="17" fillId="0" borderId="1" xfId="3" applyNumberFormat="1" applyFont="1" applyBorder="1" applyAlignment="1">
      <alignment horizontal="left" vertical="center" wrapText="1"/>
    </xf>
    <xf numFmtId="164" fontId="17" fillId="0" borderId="1" xfId="3" applyNumberFormat="1" applyFont="1" applyBorder="1" applyAlignment="1">
      <alignment horizontal="center" vertical="center" wrapText="1"/>
    </xf>
    <xf numFmtId="0" fontId="25" fillId="0" borderId="0" xfId="3" applyFont="1" applyAlignment="1">
      <alignment horizontal="left" wrapText="1"/>
    </xf>
    <xf numFmtId="0" fontId="9" fillId="0" borderId="0" xfId="6" applyFont="1" applyAlignment="1">
      <alignment horizontal="center" vertical="center" wrapText="1"/>
    </xf>
    <xf numFmtId="0" fontId="24" fillId="0" borderId="0" xfId="6" applyFont="1" applyAlignment="1">
      <alignment horizontal="center" vertical="center" wrapText="1"/>
    </xf>
    <xf numFmtId="164" fontId="25" fillId="0" borderId="6" xfId="3" applyNumberFormat="1" applyFont="1" applyBorder="1" applyAlignment="1">
      <alignment horizontal="left" vertical="center" wrapText="1"/>
    </xf>
    <xf numFmtId="164" fontId="25" fillId="0" borderId="13" xfId="3" applyNumberFormat="1" applyFont="1" applyBorder="1" applyAlignment="1">
      <alignment horizontal="center" vertical="center" wrapText="1"/>
    </xf>
    <xf numFmtId="164" fontId="25" fillId="0" borderId="14" xfId="3" applyNumberFormat="1" applyFont="1" applyBorder="1" applyAlignment="1">
      <alignment horizontal="center" vertical="center" wrapText="1"/>
    </xf>
    <xf numFmtId="164" fontId="25" fillId="0" borderId="15" xfId="3" applyNumberFormat="1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100" xfId="2" xr:uid="{177E69A4-2119-4C8F-A70D-622149742558}"/>
    <cellStyle name="Обычный 2" xfId="3" xr:uid="{A9A1488E-DDA2-40DE-97CB-6075A112703C}"/>
    <cellStyle name="Обычный 2 2" xfId="4" xr:uid="{37CC26D1-14E0-4C1A-B000-C9B01FCDB3BE}"/>
    <cellStyle name="Обычный 3" xfId="6" xr:uid="{C4ED6993-4F4A-4281-A8F8-0B53670C7FD9}"/>
    <cellStyle name="Обычный 3 2" xfId="5" xr:uid="{D279A80F-2B03-41DF-87AD-234742BD6B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2023_god_i_na_planovyy_period_2024_i_2025_godov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2023_god_i_na_planovyy_period_2024_i_2025_godov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8B66F-BED3-46BE-9F8D-122039B0F1D1}">
  <sheetPr>
    <pageSetUpPr fitToPage="1"/>
  </sheetPr>
  <dimension ref="A1:Q65"/>
  <sheetViews>
    <sheetView tabSelected="1" view="pageBreakPreview" zoomScaleNormal="75" zoomScaleSheetLayoutView="100" workbookViewId="0">
      <selection activeCell="I12" sqref="I12"/>
    </sheetView>
  </sheetViews>
  <sheetFormatPr defaultRowHeight="12.75" x14ac:dyDescent="0.2"/>
  <cols>
    <col min="1" max="1" width="9.42578125" customWidth="1"/>
    <col min="2" max="2" width="50.28515625" customWidth="1"/>
    <col min="3" max="3" width="33.140625" customWidth="1"/>
    <col min="4" max="4" width="15.7109375" customWidth="1"/>
    <col min="5" max="5" width="19.42578125" customWidth="1"/>
    <col min="6" max="6" width="22.28515625" customWidth="1"/>
    <col min="7" max="7" width="18" customWidth="1"/>
    <col min="8" max="8" width="21.140625" customWidth="1"/>
    <col min="9" max="9" width="28.85546875" customWidth="1"/>
    <col min="10" max="10" width="14.5703125" hidden="1" customWidth="1"/>
    <col min="11" max="11" width="12.5703125" hidden="1" customWidth="1"/>
    <col min="12" max="14" width="0" hidden="1" customWidth="1"/>
    <col min="15" max="15" width="18.7109375" customWidth="1"/>
    <col min="16" max="16" width="23.7109375" customWidth="1"/>
    <col min="17" max="17" width="13.28515625" bestFit="1" customWidth="1"/>
  </cols>
  <sheetData>
    <row r="1" spans="1:17" ht="18.75" x14ac:dyDescent="0.2">
      <c r="I1" s="66" t="s">
        <v>264</v>
      </c>
    </row>
    <row r="2" spans="1:17" ht="54" customHeight="1" x14ac:dyDescent="0.2">
      <c r="A2" s="157" t="s">
        <v>0</v>
      </c>
      <c r="B2" s="157"/>
      <c r="C2" s="157"/>
      <c r="D2" s="157"/>
      <c r="E2" s="157"/>
      <c r="F2" s="157"/>
      <c r="G2" s="157"/>
      <c r="H2" s="157"/>
      <c r="I2" s="157"/>
    </row>
    <row r="3" spans="1:17" ht="15.75" x14ac:dyDescent="0.25">
      <c r="A3" s="1"/>
      <c r="B3" s="1"/>
      <c r="C3" s="1"/>
      <c r="D3" s="1"/>
      <c r="E3" s="1"/>
      <c r="F3" s="1"/>
      <c r="G3" s="1"/>
      <c r="H3" s="1"/>
      <c r="O3" s="21"/>
    </row>
    <row r="4" spans="1:17" ht="16.5" thickBot="1" x14ac:dyDescent="0.3">
      <c r="A4" s="1"/>
      <c r="B4" s="1"/>
      <c r="C4" s="1"/>
      <c r="D4" s="1"/>
      <c r="E4" s="1"/>
      <c r="F4" s="1"/>
      <c r="G4" s="1"/>
      <c r="H4" s="1"/>
    </row>
    <row r="5" spans="1:17" ht="56.25" x14ac:dyDescent="0.2">
      <c r="A5" s="41" t="s">
        <v>1</v>
      </c>
      <c r="B5" s="42" t="s">
        <v>2</v>
      </c>
      <c r="C5" s="42" t="s">
        <v>3</v>
      </c>
      <c r="D5" s="38" t="s">
        <v>4</v>
      </c>
      <c r="E5" s="43" t="s">
        <v>147</v>
      </c>
      <c r="F5" s="43" t="s">
        <v>148</v>
      </c>
      <c r="G5" s="43" t="s">
        <v>149</v>
      </c>
      <c r="H5" s="43" t="s">
        <v>150</v>
      </c>
      <c r="I5" s="44" t="s">
        <v>5</v>
      </c>
      <c r="J5" s="55"/>
      <c r="O5" s="43" t="s">
        <v>152</v>
      </c>
      <c r="P5" s="43" t="s">
        <v>153</v>
      </c>
    </row>
    <row r="6" spans="1:17" ht="58.5" x14ac:dyDescent="0.2">
      <c r="A6" s="45"/>
      <c r="B6" s="2" t="s">
        <v>6</v>
      </c>
      <c r="C6" s="2"/>
      <c r="D6" s="3"/>
      <c r="E6" s="59">
        <f>E7+E41+E43+E49</f>
        <v>67211.145829999994</v>
      </c>
      <c r="F6" s="59">
        <f>F7+F41+F43+F49</f>
        <v>67327.863469999997</v>
      </c>
      <c r="G6" s="59">
        <f>G7+G41+G43+G49</f>
        <v>15535.146479999999</v>
      </c>
      <c r="H6" s="59">
        <f>H7+H41+H43+H49</f>
        <v>368752.46191000001</v>
      </c>
      <c r="I6" s="60"/>
      <c r="O6" s="59">
        <f>O7+O41+O43+O49</f>
        <v>80260.554739999992</v>
      </c>
      <c r="P6" s="59">
        <f>P7+P41+P43+P49</f>
        <v>442502.95428000001</v>
      </c>
      <c r="Q6" s="155">
        <f>P6-H6</f>
        <v>73750.492369999993</v>
      </c>
    </row>
    <row r="7" spans="1:17" ht="18.75" x14ac:dyDescent="0.3">
      <c r="A7" s="46" t="s">
        <v>7</v>
      </c>
      <c r="B7" s="4" t="s">
        <v>8</v>
      </c>
      <c r="C7" s="4"/>
      <c r="D7" s="5"/>
      <c r="E7" s="6">
        <f>E8+E11+E13+E15+E17+E19+E21+E24+E27</f>
        <v>6533.9537499999997</v>
      </c>
      <c r="F7" s="6">
        <f>F8+F11+F13+F15+F17+F19+F21+F24+F27+F31+F35+F37</f>
        <v>9558.0209699999978</v>
      </c>
      <c r="G7" s="6">
        <f>G8+G11+G13+G15+G17+G19+G21+G24+G27+G31+G35+G37</f>
        <v>6431.8908499999998</v>
      </c>
      <c r="H7" s="6">
        <f>H8+H11+H13+H15+H17+H19+H21+H24+H27+H31+H35</f>
        <v>3204.8847200000005</v>
      </c>
      <c r="I7" s="60"/>
      <c r="O7" s="6">
        <f>O8+O11+O13+O15+O17+O19+O21+O24+O27+O31+O35+O37</f>
        <v>10936.743739999998</v>
      </c>
      <c r="P7" s="6">
        <f>P8+P11+P13+P15+P17+P19+P21+P24+P27+P31+P35+P37</f>
        <v>3845.86166</v>
      </c>
    </row>
    <row r="8" spans="1:17" ht="47.25" x14ac:dyDescent="0.25">
      <c r="A8" s="47" t="s">
        <v>9</v>
      </c>
      <c r="B8" s="7" t="s">
        <v>10</v>
      </c>
      <c r="C8" s="7"/>
      <c r="D8" s="8" t="s">
        <v>11</v>
      </c>
      <c r="E8" s="8">
        <f>E9</f>
        <v>516.19896000000006</v>
      </c>
      <c r="F8" s="8">
        <f>F9+F10</f>
        <v>885.67998</v>
      </c>
      <c r="G8" s="8">
        <f>G10</f>
        <v>853.92187999999999</v>
      </c>
      <c r="H8" s="8">
        <f>H9+H10</f>
        <v>566.15196000000003</v>
      </c>
      <c r="I8" s="60"/>
      <c r="O8" s="8">
        <f>ROUND(F8*1.2,5)</f>
        <v>1062.8159800000001</v>
      </c>
      <c r="P8" s="8">
        <f>ROUND(H8*1.2,5)</f>
        <v>679.38234999999997</v>
      </c>
    </row>
    <row r="9" spans="1:17" ht="38.25" x14ac:dyDescent="0.2">
      <c r="A9" s="48" t="s">
        <v>12</v>
      </c>
      <c r="B9" s="10" t="s">
        <v>13</v>
      </c>
      <c r="C9" s="10" t="s">
        <v>14</v>
      </c>
      <c r="D9" s="18"/>
      <c r="E9" s="12">
        <v>516.19896000000006</v>
      </c>
      <c r="F9" s="12">
        <v>0</v>
      </c>
      <c r="G9" s="12">
        <v>0</v>
      </c>
      <c r="H9" s="12">
        <f>ROUND(537656.18/1000*F65/100,5)</f>
        <v>566.15196000000003</v>
      </c>
      <c r="I9" s="56" t="s">
        <v>15</v>
      </c>
      <c r="O9" s="12">
        <f t="shared" ref="O9:O18" si="0">ROUND(F9*1.2,5)</f>
        <v>0</v>
      </c>
      <c r="P9" s="12">
        <f t="shared" ref="P9:P18" si="1">ROUND(H9*1.2,5)</f>
        <v>679.38234999999997</v>
      </c>
    </row>
    <row r="10" spans="1:17" ht="31.5" x14ac:dyDescent="0.2">
      <c r="A10" s="48" t="s">
        <v>16</v>
      </c>
      <c r="B10" s="10" t="s">
        <v>17</v>
      </c>
      <c r="C10" s="10" t="s">
        <v>18</v>
      </c>
      <c r="D10" s="18"/>
      <c r="E10" s="12">
        <v>0</v>
      </c>
      <c r="F10" s="12">
        <f>885679.98/1000</f>
        <v>885.67998</v>
      </c>
      <c r="G10" s="12">
        <v>853.92187999999999</v>
      </c>
      <c r="H10" s="12">
        <v>0</v>
      </c>
      <c r="I10" s="56" t="s">
        <v>19</v>
      </c>
      <c r="O10" s="12">
        <f t="shared" si="0"/>
        <v>1062.8159800000001</v>
      </c>
      <c r="P10" s="12">
        <f t="shared" si="1"/>
        <v>0</v>
      </c>
    </row>
    <row r="11" spans="1:17" ht="47.25" x14ac:dyDescent="0.25">
      <c r="A11" s="49" t="s">
        <v>20</v>
      </c>
      <c r="B11" s="7" t="s">
        <v>21</v>
      </c>
      <c r="C11" s="7"/>
      <c r="D11" s="8" t="s">
        <v>22</v>
      </c>
      <c r="E11" s="8">
        <f>E12</f>
        <v>736.57898</v>
      </c>
      <c r="F11" s="8">
        <f t="shared" ref="F11:H11" si="2">F12</f>
        <v>0</v>
      </c>
      <c r="G11" s="8">
        <f t="shared" si="2"/>
        <v>0</v>
      </c>
      <c r="H11" s="8">
        <f t="shared" si="2"/>
        <v>853.61865999999998</v>
      </c>
      <c r="I11" s="56"/>
      <c r="O11" s="8">
        <f t="shared" si="0"/>
        <v>0</v>
      </c>
      <c r="P11" s="8">
        <f t="shared" si="1"/>
        <v>1024.34239</v>
      </c>
    </row>
    <row r="12" spans="1:17" ht="42.75" customHeight="1" x14ac:dyDescent="0.2">
      <c r="A12" s="48" t="s">
        <v>23</v>
      </c>
      <c r="B12" s="10" t="s">
        <v>272</v>
      </c>
      <c r="C12" s="10" t="s">
        <v>24</v>
      </c>
      <c r="D12" s="61"/>
      <c r="E12" s="12">
        <v>736.57898</v>
      </c>
      <c r="F12" s="12">
        <v>0</v>
      </c>
      <c r="G12" s="12">
        <v>0</v>
      </c>
      <c r="H12" s="12">
        <f>ROUND(810654/1000*F65/100,5)</f>
        <v>853.61865999999998</v>
      </c>
      <c r="I12" s="56" t="s">
        <v>15</v>
      </c>
      <c r="O12" s="12">
        <f t="shared" si="0"/>
        <v>0</v>
      </c>
      <c r="P12" s="12">
        <f t="shared" si="1"/>
        <v>1024.34239</v>
      </c>
    </row>
    <row r="13" spans="1:17" ht="47.25" x14ac:dyDescent="0.25">
      <c r="A13" s="49" t="s">
        <v>25</v>
      </c>
      <c r="B13" s="7" t="s">
        <v>26</v>
      </c>
      <c r="C13" s="7"/>
      <c r="D13" s="8" t="s">
        <v>27</v>
      </c>
      <c r="E13" s="8">
        <v>0</v>
      </c>
      <c r="F13" s="8">
        <f>F14</f>
        <v>357.78803000000005</v>
      </c>
      <c r="G13" s="8">
        <f>G14</f>
        <v>375.64726000000002</v>
      </c>
      <c r="H13" s="8">
        <v>0</v>
      </c>
      <c r="I13" s="56"/>
      <c r="O13" s="8">
        <f t="shared" si="0"/>
        <v>429.34564</v>
      </c>
      <c r="P13" s="8">
        <f t="shared" si="1"/>
        <v>0</v>
      </c>
    </row>
    <row r="14" spans="1:17" ht="31.5" x14ac:dyDescent="0.25">
      <c r="A14" s="48" t="s">
        <v>28</v>
      </c>
      <c r="B14" s="14" t="s">
        <v>29</v>
      </c>
      <c r="C14" s="10" t="s">
        <v>30</v>
      </c>
      <c r="D14" s="62"/>
      <c r="E14" s="12">
        <v>0</v>
      </c>
      <c r="F14" s="12">
        <f>357788.03/1000</f>
        <v>357.78803000000005</v>
      </c>
      <c r="G14" s="12">
        <v>375.64726000000002</v>
      </c>
      <c r="H14" s="12">
        <v>0</v>
      </c>
      <c r="I14" s="56" t="s">
        <v>19</v>
      </c>
      <c r="O14" s="12">
        <f t="shared" si="0"/>
        <v>429.34564</v>
      </c>
      <c r="P14" s="12">
        <f t="shared" si="1"/>
        <v>0</v>
      </c>
    </row>
    <row r="15" spans="1:17" ht="47.25" x14ac:dyDescent="0.25">
      <c r="A15" s="49" t="s">
        <v>31</v>
      </c>
      <c r="B15" s="7" t="s">
        <v>32</v>
      </c>
      <c r="C15" s="7"/>
      <c r="D15" s="8" t="s">
        <v>33</v>
      </c>
      <c r="E15" s="8">
        <f>E16</f>
        <v>224.59378000000001</v>
      </c>
      <c r="F15" s="8">
        <f>F16</f>
        <v>297.63072</v>
      </c>
      <c r="G15" s="8">
        <v>0</v>
      </c>
      <c r="H15" s="8">
        <v>0</v>
      </c>
      <c r="I15" s="56"/>
      <c r="O15" s="8">
        <f t="shared" si="0"/>
        <v>357.15685999999999</v>
      </c>
      <c r="P15" s="8">
        <f t="shared" si="1"/>
        <v>0</v>
      </c>
    </row>
    <row r="16" spans="1:17" ht="31.5" x14ac:dyDescent="0.2">
      <c r="A16" s="48" t="s">
        <v>34</v>
      </c>
      <c r="B16" s="10" t="s">
        <v>35</v>
      </c>
      <c r="C16" s="10" t="s">
        <v>36</v>
      </c>
      <c r="D16" s="62"/>
      <c r="E16" s="12">
        <v>224.59378000000001</v>
      </c>
      <c r="F16" s="12">
        <f>297630.72/1000</f>
        <v>297.63072</v>
      </c>
      <c r="G16" s="12">
        <v>0</v>
      </c>
      <c r="H16" s="12">
        <v>0</v>
      </c>
      <c r="I16" s="56" t="s">
        <v>37</v>
      </c>
      <c r="O16" s="12">
        <f t="shared" si="0"/>
        <v>357.15685999999999</v>
      </c>
      <c r="P16" s="12">
        <f t="shared" si="1"/>
        <v>0</v>
      </c>
    </row>
    <row r="17" spans="1:16" ht="47.25" x14ac:dyDescent="0.25">
      <c r="A17" s="49" t="s">
        <v>38</v>
      </c>
      <c r="B17" s="7" t="s">
        <v>39</v>
      </c>
      <c r="C17" s="7"/>
      <c r="D17" s="8" t="s">
        <v>40</v>
      </c>
      <c r="E17" s="8">
        <f>E18</f>
        <v>455.68770000000001</v>
      </c>
      <c r="F17" s="8">
        <f t="shared" ref="F17:H17" si="3">F18</f>
        <v>0</v>
      </c>
      <c r="G17" s="8">
        <f t="shared" si="3"/>
        <v>0</v>
      </c>
      <c r="H17" s="8">
        <f t="shared" si="3"/>
        <v>515.33833000000004</v>
      </c>
      <c r="I17" s="56"/>
      <c r="O17" s="8">
        <f t="shared" si="0"/>
        <v>0</v>
      </c>
      <c r="P17" s="8">
        <f t="shared" si="1"/>
        <v>618.40599999999995</v>
      </c>
    </row>
    <row r="18" spans="1:16" ht="38.25" x14ac:dyDescent="0.2">
      <c r="A18" s="48" t="s">
        <v>41</v>
      </c>
      <c r="B18" s="10" t="s">
        <v>42</v>
      </c>
      <c r="C18" s="10" t="s">
        <v>43</v>
      </c>
      <c r="D18" s="62"/>
      <c r="E18" s="12">
        <v>455.68770000000001</v>
      </c>
      <c r="F18" s="12">
        <v>0</v>
      </c>
      <c r="G18" s="12">
        <v>0</v>
      </c>
      <c r="H18" s="12">
        <f>ROUND(489400.12/1000*F65/100,5)</f>
        <v>515.33833000000004</v>
      </c>
      <c r="I18" s="56" t="s">
        <v>15</v>
      </c>
      <c r="O18" s="12">
        <f t="shared" si="0"/>
        <v>0</v>
      </c>
      <c r="P18" s="12">
        <f t="shared" si="1"/>
        <v>618.40599999999995</v>
      </c>
    </row>
    <row r="19" spans="1:16" ht="63" x14ac:dyDescent="0.25">
      <c r="A19" s="49" t="s">
        <v>44</v>
      </c>
      <c r="B19" s="7" t="s">
        <v>45</v>
      </c>
      <c r="C19" s="7"/>
      <c r="D19" s="8" t="s">
        <v>46</v>
      </c>
      <c r="E19" s="8">
        <f>E20</f>
        <v>166.82533000000001</v>
      </c>
      <c r="F19" s="8">
        <f t="shared" ref="F19:H19" si="4">F20</f>
        <v>144.33382999999998</v>
      </c>
      <c r="G19" s="8">
        <f t="shared" si="4"/>
        <v>0</v>
      </c>
      <c r="H19" s="8">
        <f t="shared" si="4"/>
        <v>0</v>
      </c>
      <c r="I19" s="56"/>
      <c r="O19" s="8">
        <f>O20</f>
        <v>157.6086</v>
      </c>
      <c r="P19" s="8">
        <f>P20</f>
        <v>0</v>
      </c>
    </row>
    <row r="20" spans="1:16" ht="99" customHeight="1" x14ac:dyDescent="0.2">
      <c r="A20" s="57" t="s">
        <v>47</v>
      </c>
      <c r="B20" s="58" t="s">
        <v>48</v>
      </c>
      <c r="C20" s="58" t="s">
        <v>118</v>
      </c>
      <c r="D20" s="62"/>
      <c r="E20" s="12">
        <v>166.82533000000001</v>
      </c>
      <c r="F20" s="12">
        <f>79.6486-13.27477+77.96</f>
        <v>144.33382999999998</v>
      </c>
      <c r="G20" s="12">
        <v>0</v>
      </c>
      <c r="H20" s="12">
        <v>0</v>
      </c>
      <c r="I20" s="56" t="s">
        <v>49</v>
      </c>
      <c r="J20">
        <f>77.96+79.6486</f>
        <v>157.6086</v>
      </c>
      <c r="O20" s="12">
        <f>77.96+79.6486</f>
        <v>157.6086</v>
      </c>
      <c r="P20" s="12"/>
    </row>
    <row r="21" spans="1:16" ht="63" x14ac:dyDescent="0.25">
      <c r="A21" s="49" t="s">
        <v>50</v>
      </c>
      <c r="B21" s="7" t="s">
        <v>51</v>
      </c>
      <c r="C21" s="7"/>
      <c r="D21" s="8" t="s">
        <v>52</v>
      </c>
      <c r="E21" s="8">
        <f>E22</f>
        <v>274.73424999999997</v>
      </c>
      <c r="F21" s="8">
        <f>F22</f>
        <v>0</v>
      </c>
      <c r="G21" s="8">
        <f>G23</f>
        <v>469.74725000000001</v>
      </c>
      <c r="H21" s="8">
        <f>H22</f>
        <v>395.80804000000001</v>
      </c>
      <c r="I21" s="56"/>
      <c r="O21" s="8">
        <f t="shared" ref="O21" si="5">ROUND(F21*1.2,5)</f>
        <v>0</v>
      </c>
      <c r="P21" s="8">
        <f t="shared" ref="P21" si="6">ROUND(H21*1.2,5)</f>
        <v>474.96965</v>
      </c>
    </row>
    <row r="22" spans="1:16" ht="63.6" customHeight="1" x14ac:dyDescent="0.2">
      <c r="A22" s="48" t="s">
        <v>53</v>
      </c>
      <c r="B22" s="15" t="s">
        <v>48</v>
      </c>
      <c r="C22" s="10" t="s">
        <v>54</v>
      </c>
      <c r="D22" s="16"/>
      <c r="E22" s="12">
        <v>274.73424999999997</v>
      </c>
      <c r="F22" s="12">
        <v>0</v>
      </c>
      <c r="G22" s="12">
        <v>0</v>
      </c>
      <c r="H22" s="12">
        <f>ROUND(375886.08/1000*F65/100,5)</f>
        <v>395.80804000000001</v>
      </c>
      <c r="I22" s="56" t="s">
        <v>15</v>
      </c>
      <c r="O22" s="12">
        <f t="shared" ref="O22" si="7">ROUND(F22*1.2,5)</f>
        <v>0</v>
      </c>
      <c r="P22" s="12">
        <f t="shared" ref="P22" si="8">ROUND(H22*1.2,5)</f>
        <v>474.96965</v>
      </c>
    </row>
    <row r="23" spans="1:16" ht="15.75" x14ac:dyDescent="0.25">
      <c r="A23" s="48" t="s">
        <v>55</v>
      </c>
      <c r="B23" s="14" t="s">
        <v>56</v>
      </c>
      <c r="C23" s="14"/>
      <c r="D23" s="16"/>
      <c r="E23" s="12">
        <v>0</v>
      </c>
      <c r="F23" s="12">
        <v>0</v>
      </c>
      <c r="G23" s="12">
        <v>469.74725000000001</v>
      </c>
      <c r="H23" s="12">
        <v>0</v>
      </c>
      <c r="I23" s="56" t="s">
        <v>143</v>
      </c>
      <c r="O23" s="12"/>
      <c r="P23" s="12"/>
    </row>
    <row r="24" spans="1:16" ht="47.25" x14ac:dyDescent="0.25">
      <c r="A24" s="49" t="s">
        <v>57</v>
      </c>
      <c r="B24" s="7" t="s">
        <v>58</v>
      </c>
      <c r="C24" s="7"/>
      <c r="D24" s="8" t="s">
        <v>59</v>
      </c>
      <c r="E24" s="8">
        <f>E25</f>
        <v>4159.33475</v>
      </c>
      <c r="F24" s="8">
        <f>F25+F26</f>
        <v>5845.0626999999995</v>
      </c>
      <c r="G24" s="8">
        <f>G25</f>
        <v>3190.3961899999999</v>
      </c>
      <c r="H24" s="8">
        <f>H25</f>
        <v>500.26256000000001</v>
      </c>
      <c r="I24" s="56" t="s">
        <v>142</v>
      </c>
      <c r="O24" s="8">
        <f>O25</f>
        <v>6731.7556199999999</v>
      </c>
      <c r="P24" s="8">
        <f>P25</f>
        <v>600.31506999999999</v>
      </c>
    </row>
    <row r="25" spans="1:16" ht="110.25" x14ac:dyDescent="0.25">
      <c r="A25" s="48" t="s">
        <v>60</v>
      </c>
      <c r="B25" s="17" t="s">
        <v>124</v>
      </c>
      <c r="C25" s="10" t="s">
        <v>123</v>
      </c>
      <c r="D25" s="16"/>
      <c r="E25" s="12">
        <v>4159.33475</v>
      </c>
      <c r="F25" s="12">
        <f>4433464.62/1000</f>
        <v>4433.4646199999997</v>
      </c>
      <c r="G25" s="12">
        <v>3190.3961899999999</v>
      </c>
      <c r="H25" s="12">
        <f>ROUND(475083.15/1000*F65/100,5)</f>
        <v>500.26256000000001</v>
      </c>
      <c r="I25" s="56"/>
      <c r="K25" s="37">
        <f>ROUND(F25*1.2,5)</f>
        <v>5320.1575400000002</v>
      </c>
      <c r="M25">
        <f>ROUND(H25*1.2,5)</f>
        <v>600.31506999999999</v>
      </c>
      <c r="O25" s="12">
        <f>ROUND(F25*1.2,5)+F26</f>
        <v>6731.7556199999999</v>
      </c>
      <c r="P25" s="12">
        <f t="shared" ref="P25" si="9">ROUND(H25*1.2,5)</f>
        <v>600.31506999999999</v>
      </c>
    </row>
    <row r="26" spans="1:16" ht="63" x14ac:dyDescent="0.25">
      <c r="A26" s="48" t="s">
        <v>61</v>
      </c>
      <c r="B26" s="17" t="s">
        <v>122</v>
      </c>
      <c r="C26" s="17" t="s">
        <v>63</v>
      </c>
      <c r="D26" s="16"/>
      <c r="E26" s="12"/>
      <c r="F26" s="12">
        <f>2823196.16/1000/2</f>
        <v>1411.59808</v>
      </c>
      <c r="G26" s="12"/>
      <c r="H26" s="12"/>
      <c r="I26" s="56"/>
      <c r="K26" s="37">
        <f>K25+F26</f>
        <v>6731.7556199999999</v>
      </c>
      <c r="O26" s="12"/>
      <c r="P26" s="12"/>
    </row>
    <row r="27" spans="1:16" ht="47.25" x14ac:dyDescent="0.25">
      <c r="A27" s="49" t="s">
        <v>64</v>
      </c>
      <c r="B27" s="7" t="s">
        <v>65</v>
      </c>
      <c r="C27" s="7"/>
      <c r="D27" s="8" t="s">
        <v>66</v>
      </c>
      <c r="E27" s="8">
        <f>E28</f>
        <v>0</v>
      </c>
      <c r="F27" s="8">
        <f>F28+F30</f>
        <v>691.06353999999999</v>
      </c>
      <c r="G27" s="8">
        <v>1542.1782700000001</v>
      </c>
      <c r="H27" s="8">
        <f>H28</f>
        <v>373.70517000000001</v>
      </c>
      <c r="I27" s="56"/>
      <c r="O27" s="8">
        <f>O28</f>
        <v>809.13504</v>
      </c>
      <c r="P27" s="8">
        <f>P28</f>
        <v>448.44619999999998</v>
      </c>
    </row>
    <row r="28" spans="1:16" ht="63" x14ac:dyDescent="0.25">
      <c r="A28" s="48" t="s">
        <v>67</v>
      </c>
      <c r="B28" s="17" t="s">
        <v>121</v>
      </c>
      <c r="C28" s="10" t="s">
        <v>120</v>
      </c>
      <c r="D28" s="18"/>
      <c r="E28" s="12">
        <v>0</v>
      </c>
      <c r="F28" s="12">
        <f>548690.87/1000+ROUND(50/1.2,5)</f>
        <v>590.35753999999997</v>
      </c>
      <c r="G28" s="12">
        <v>1542.1782700000001</v>
      </c>
      <c r="H28" s="12">
        <f>ROUND(354895.7/1000*F65/100,5)</f>
        <v>373.70517000000001</v>
      </c>
      <c r="I28" s="56" t="s">
        <v>68</v>
      </c>
      <c r="K28">
        <f>548690.87/1000</f>
        <v>548.69087000000002</v>
      </c>
      <c r="L28" s="21">
        <f>ROUND(K28*1.2,5)+50+F30</f>
        <v>809.13504</v>
      </c>
      <c r="M28">
        <f>ROUND(H28*1.2,5)</f>
        <v>448.44619999999998</v>
      </c>
      <c r="N28" s="21">
        <f>M28+L28</f>
        <v>1257.58124</v>
      </c>
      <c r="O28" s="12">
        <f>ROUND(548690.87/1000*1.2,5)+50+F30</f>
        <v>809.13504</v>
      </c>
      <c r="P28" s="12">
        <f t="shared" ref="P28" si="10">ROUND(H28*1.2,5)</f>
        <v>448.44619999999998</v>
      </c>
    </row>
    <row r="29" spans="1:16" ht="15" hidden="1" customHeight="1" x14ac:dyDescent="0.25">
      <c r="A29" s="48"/>
      <c r="B29" s="17" t="s">
        <v>69</v>
      </c>
      <c r="C29" s="10"/>
      <c r="D29" s="18"/>
      <c r="E29" s="12"/>
      <c r="F29" s="12"/>
      <c r="G29" s="12"/>
      <c r="H29" s="12"/>
      <c r="I29" s="56"/>
      <c r="O29" s="12"/>
      <c r="P29" s="12"/>
    </row>
    <row r="30" spans="1:16" ht="47.25" x14ac:dyDescent="0.25">
      <c r="A30" s="48" t="s">
        <v>70</v>
      </c>
      <c r="B30" s="17" t="s">
        <v>62</v>
      </c>
      <c r="C30" s="17" t="s">
        <v>119</v>
      </c>
      <c r="D30" s="18"/>
      <c r="E30" s="12"/>
      <c r="F30" s="12">
        <v>100.706</v>
      </c>
      <c r="G30" s="12"/>
      <c r="H30" s="12"/>
      <c r="I30" s="56" t="s">
        <v>71</v>
      </c>
      <c r="O30" s="12"/>
      <c r="P30" s="12"/>
    </row>
    <row r="31" spans="1:16" ht="47.25" x14ac:dyDescent="0.25">
      <c r="A31" s="49" t="s">
        <v>72</v>
      </c>
      <c r="B31" s="7" t="s">
        <v>73</v>
      </c>
      <c r="C31" s="7"/>
      <c r="D31" s="8" t="s">
        <v>74</v>
      </c>
      <c r="E31" s="8">
        <v>0</v>
      </c>
      <c r="F31" s="8">
        <f>F32+F33+F34</f>
        <v>872.50966999999991</v>
      </c>
      <c r="G31" s="8"/>
      <c r="H31" s="8"/>
      <c r="I31" s="56" t="s">
        <v>141</v>
      </c>
      <c r="K31" s="21">
        <f>F34+F33+525.14+17+19.8</f>
        <v>878.64300000000003</v>
      </c>
      <c r="O31" s="8">
        <f>F33+F34+525.14+17+19.8</f>
        <v>878.64300000000003</v>
      </c>
      <c r="P31" s="8">
        <v>0</v>
      </c>
    </row>
    <row r="32" spans="1:16" ht="78.75" x14ac:dyDescent="0.25">
      <c r="A32" s="48" t="s">
        <v>110</v>
      </c>
      <c r="B32" s="17" t="s">
        <v>75</v>
      </c>
      <c r="C32" s="17" t="s">
        <v>76</v>
      </c>
      <c r="D32" s="18"/>
      <c r="E32" s="12"/>
      <c r="F32" s="12">
        <f>525.14+ROUND(17/1.2,5)+ROUND(19.8/1.2,5)</f>
        <v>555.80666999999994</v>
      </c>
      <c r="G32" s="12"/>
      <c r="H32" s="12"/>
      <c r="I32" s="56"/>
      <c r="O32" s="12"/>
      <c r="P32" s="12"/>
    </row>
    <row r="33" spans="1:16" ht="47.25" x14ac:dyDescent="0.25">
      <c r="A33" s="48" t="s">
        <v>111</v>
      </c>
      <c r="B33" s="17" t="s">
        <v>77</v>
      </c>
      <c r="C33" s="17" t="s">
        <v>78</v>
      </c>
      <c r="D33" s="18"/>
      <c r="E33" s="12"/>
      <c r="F33" s="12">
        <v>102.40300000000001</v>
      </c>
      <c r="G33" s="12"/>
      <c r="H33" s="12"/>
      <c r="I33" s="56"/>
      <c r="O33" s="12"/>
      <c r="P33" s="12"/>
    </row>
    <row r="34" spans="1:16" ht="31.5" x14ac:dyDescent="0.25">
      <c r="A34" s="48" t="s">
        <v>112</v>
      </c>
      <c r="B34" s="17" t="s">
        <v>79</v>
      </c>
      <c r="C34" s="17" t="s">
        <v>80</v>
      </c>
      <c r="D34" s="18"/>
      <c r="E34" s="12"/>
      <c r="F34" s="12">
        <v>214.3</v>
      </c>
      <c r="G34" s="12"/>
      <c r="H34" s="12"/>
      <c r="I34" s="56"/>
      <c r="O34" s="12"/>
      <c r="P34" s="12"/>
    </row>
    <row r="35" spans="1:16" ht="47.25" x14ac:dyDescent="0.25">
      <c r="A35" s="49" t="s">
        <v>81</v>
      </c>
      <c r="B35" s="7" t="s">
        <v>82</v>
      </c>
      <c r="C35" s="7"/>
      <c r="D35" s="8" t="s">
        <v>83</v>
      </c>
      <c r="E35" s="8">
        <v>0</v>
      </c>
      <c r="F35" s="8">
        <f>F36</f>
        <v>232.3</v>
      </c>
      <c r="G35" s="8"/>
      <c r="H35" s="8"/>
      <c r="I35" s="56" t="s">
        <v>141</v>
      </c>
      <c r="O35" s="8">
        <f>F35</f>
        <v>232.3</v>
      </c>
      <c r="P35" s="8">
        <f t="shared" ref="P35" si="11">ROUND(H35*1.2,5)</f>
        <v>0</v>
      </c>
    </row>
    <row r="36" spans="1:16" ht="31.5" x14ac:dyDescent="0.25">
      <c r="A36" s="48"/>
      <c r="B36" s="17" t="s">
        <v>84</v>
      </c>
      <c r="C36" s="17" t="s">
        <v>85</v>
      </c>
      <c r="D36" s="18"/>
      <c r="E36" s="12"/>
      <c r="F36" s="12">
        <v>232.3</v>
      </c>
      <c r="G36" s="12"/>
      <c r="H36" s="12"/>
      <c r="I36" s="60"/>
      <c r="O36" s="12"/>
      <c r="P36" s="12"/>
    </row>
    <row r="37" spans="1:16" ht="47.25" x14ac:dyDescent="0.25">
      <c r="A37" s="49" t="s">
        <v>86</v>
      </c>
      <c r="B37" s="7" t="s">
        <v>87</v>
      </c>
      <c r="C37" s="7"/>
      <c r="D37" s="8" t="s">
        <v>88</v>
      </c>
      <c r="E37" s="8"/>
      <c r="F37" s="8">
        <f>F38</f>
        <v>231.6525</v>
      </c>
      <c r="G37" s="8"/>
      <c r="H37" s="8"/>
      <c r="I37" s="56" t="s">
        <v>141</v>
      </c>
      <c r="O37" s="8">
        <f t="shared" ref="O37" si="12">ROUND(F37*1.2,5)</f>
        <v>277.983</v>
      </c>
      <c r="P37" s="8">
        <f t="shared" ref="P37" si="13">ROUND(H37*1.2,5)</f>
        <v>0</v>
      </c>
    </row>
    <row r="38" spans="1:16" ht="31.5" x14ac:dyDescent="0.25">
      <c r="A38" s="48"/>
      <c r="B38" s="17" t="s">
        <v>89</v>
      </c>
      <c r="C38" s="17" t="s">
        <v>151</v>
      </c>
      <c r="D38" s="18"/>
      <c r="E38" s="12"/>
      <c r="F38" s="12">
        <f>ROUND(277.983/1.2,5)</f>
        <v>231.6525</v>
      </c>
      <c r="G38" s="12"/>
      <c r="H38" s="12"/>
      <c r="I38" s="60"/>
      <c r="O38" s="12"/>
      <c r="P38" s="12"/>
    </row>
    <row r="39" spans="1:16" ht="15.75" hidden="1" x14ac:dyDescent="0.25">
      <c r="A39" s="48"/>
      <c r="B39" s="17"/>
      <c r="C39" s="17"/>
      <c r="D39" s="18"/>
      <c r="E39" s="12"/>
      <c r="F39" s="12"/>
      <c r="G39" s="12"/>
      <c r="H39" s="12"/>
      <c r="I39" s="60"/>
      <c r="O39" s="12"/>
      <c r="P39" s="12"/>
    </row>
    <row r="40" spans="1:16" ht="15.75" hidden="1" x14ac:dyDescent="0.25">
      <c r="A40" s="48"/>
      <c r="B40" s="17"/>
      <c r="C40" s="17"/>
      <c r="D40" s="18"/>
      <c r="E40" s="12"/>
      <c r="F40" s="12"/>
      <c r="G40" s="12"/>
      <c r="H40" s="12"/>
      <c r="I40" s="60"/>
      <c r="O40" s="12"/>
      <c r="P40" s="12"/>
    </row>
    <row r="41" spans="1:16" ht="18.75" x14ac:dyDescent="0.3">
      <c r="A41" s="50" t="s">
        <v>90</v>
      </c>
      <c r="B41" s="19" t="s">
        <v>91</v>
      </c>
      <c r="C41" s="19"/>
      <c r="D41" s="20"/>
      <c r="E41" s="6">
        <f>E42</f>
        <v>2168.03775</v>
      </c>
      <c r="F41" s="6">
        <v>0</v>
      </c>
      <c r="G41" s="6">
        <f>G42</f>
        <v>2282.9437500000004</v>
      </c>
      <c r="H41" s="6">
        <f>H42</f>
        <v>4327.3035</v>
      </c>
      <c r="I41" s="60"/>
      <c r="K41" s="21"/>
      <c r="O41" s="6">
        <f t="shared" ref="O41" si="14">ROUND(F41*1.2,5)</f>
        <v>0</v>
      </c>
      <c r="P41" s="6">
        <f t="shared" ref="P41" si="15">ROUND(H41*1.2,5)</f>
        <v>5192.7641999999996</v>
      </c>
    </row>
    <row r="42" spans="1:16" ht="63.75" x14ac:dyDescent="0.2">
      <c r="A42" s="49" t="s">
        <v>92</v>
      </c>
      <c r="B42" s="22" t="s">
        <v>116</v>
      </c>
      <c r="C42" s="22" t="s">
        <v>117</v>
      </c>
      <c r="D42" s="8" t="s">
        <v>93</v>
      </c>
      <c r="E42" s="9">
        <v>2168.03775</v>
      </c>
      <c r="F42" s="9">
        <v>0</v>
      </c>
      <c r="G42" s="9">
        <v>2282.9437500000004</v>
      </c>
      <c r="H42" s="9">
        <f>ROUND(821.9/1.2*6*F65/100,5)</f>
        <v>4327.3035</v>
      </c>
      <c r="I42" s="56" t="s">
        <v>138</v>
      </c>
      <c r="O42" s="9">
        <f t="shared" ref="O42:O43" si="16">ROUND(F42*1.2,5)</f>
        <v>0</v>
      </c>
      <c r="P42" s="9">
        <f t="shared" ref="P42:P43" si="17">ROUND(H42*1.2,5)</f>
        <v>5192.7641999999996</v>
      </c>
    </row>
    <row r="43" spans="1:16" ht="56.25" x14ac:dyDescent="0.3">
      <c r="A43" s="50" t="s">
        <v>94</v>
      </c>
      <c r="B43" s="19" t="s">
        <v>268</v>
      </c>
      <c r="C43" s="19"/>
      <c r="D43" s="20"/>
      <c r="E43" s="6">
        <f>E44</f>
        <v>6477.0293300000003</v>
      </c>
      <c r="F43" s="6">
        <f>F44+F45+F46+F47+F48</f>
        <v>5736.1041700000005</v>
      </c>
      <c r="G43" s="6">
        <f>G44</f>
        <v>6820.3118800000002</v>
      </c>
      <c r="H43" s="6">
        <f>H44+H45+H46+H47+H48</f>
        <v>7773.9804699999995</v>
      </c>
      <c r="I43" s="60"/>
      <c r="K43" s="21"/>
      <c r="O43" s="6">
        <f t="shared" si="16"/>
        <v>6883.3249999999998</v>
      </c>
      <c r="P43" s="6">
        <f t="shared" si="17"/>
        <v>9328.7765600000002</v>
      </c>
    </row>
    <row r="44" spans="1:16" ht="47.25" x14ac:dyDescent="0.2">
      <c r="A44" s="48" t="s">
        <v>95</v>
      </c>
      <c r="B44" s="40" t="s">
        <v>113</v>
      </c>
      <c r="C44" s="40"/>
      <c r="D44" s="12" t="s">
        <v>96</v>
      </c>
      <c r="E44" s="12">
        <v>6477.0293300000003</v>
      </c>
      <c r="F44" s="12">
        <v>0</v>
      </c>
      <c r="G44" s="12">
        <v>6820.3118800000002</v>
      </c>
      <c r="H44" s="12">
        <v>0</v>
      </c>
      <c r="I44" s="60"/>
      <c r="K44" s="21"/>
      <c r="O44" s="12">
        <f t="shared" ref="O44" si="18">ROUND(F44*1.2,5)</f>
        <v>0</v>
      </c>
      <c r="P44" s="12">
        <f t="shared" ref="P44" si="19">ROUND(H44*1.2,5)</f>
        <v>0</v>
      </c>
    </row>
    <row r="45" spans="1:16" ht="63" x14ac:dyDescent="0.2">
      <c r="A45" s="49" t="s">
        <v>132</v>
      </c>
      <c r="B45" s="22" t="s">
        <v>129</v>
      </c>
      <c r="C45" s="22" t="s">
        <v>145</v>
      </c>
      <c r="D45" s="8" t="s">
        <v>125</v>
      </c>
      <c r="E45" s="9">
        <v>0</v>
      </c>
      <c r="F45" s="9">
        <f>ROUND(1437/1.2+83.58/1.2+297/1.2,5)</f>
        <v>1514.65</v>
      </c>
      <c r="G45" s="9">
        <v>0</v>
      </c>
      <c r="H45" s="9">
        <f>ROUND((2874+167.16+594)/1.2*F65/100,5)</f>
        <v>3189.8528999999999</v>
      </c>
      <c r="I45" s="56" t="s">
        <v>136</v>
      </c>
      <c r="O45" s="9"/>
      <c r="P45" s="9"/>
    </row>
    <row r="46" spans="1:16" ht="31.5" x14ac:dyDescent="0.2">
      <c r="A46" s="49" t="s">
        <v>133</v>
      </c>
      <c r="B46" s="22" t="s">
        <v>131</v>
      </c>
      <c r="C46" s="22" t="s">
        <v>146</v>
      </c>
      <c r="D46" s="8" t="s">
        <v>126</v>
      </c>
      <c r="E46" s="9">
        <v>0</v>
      </c>
      <c r="F46" s="9">
        <f>ROUND(164.228/1.2,5)</f>
        <v>136.85667000000001</v>
      </c>
      <c r="G46" s="9">
        <v>0</v>
      </c>
      <c r="H46" s="9"/>
      <c r="I46" s="60" t="s">
        <v>137</v>
      </c>
      <c r="O46" s="9"/>
      <c r="P46" s="9"/>
    </row>
    <row r="47" spans="1:16" ht="63" x14ac:dyDescent="0.2">
      <c r="A47" s="49" t="s">
        <v>134</v>
      </c>
      <c r="B47" s="22" t="s">
        <v>128</v>
      </c>
      <c r="C47" s="22" t="s">
        <v>145</v>
      </c>
      <c r="D47" s="8" t="s">
        <v>127</v>
      </c>
      <c r="E47" s="9">
        <v>0</v>
      </c>
      <c r="F47" s="9">
        <f>ROUND(4740237/1.2/1000,5)</f>
        <v>3950.1975000000002</v>
      </c>
      <c r="G47" s="9">
        <v>0</v>
      </c>
      <c r="H47" s="9">
        <f>ROUND(4740237/1.2/1000*F65/100,5)</f>
        <v>4159.5579699999998</v>
      </c>
      <c r="I47" s="60" t="s">
        <v>139</v>
      </c>
      <c r="O47" s="9"/>
      <c r="P47" s="9"/>
    </row>
    <row r="48" spans="1:16" ht="63" x14ac:dyDescent="0.2">
      <c r="A48" s="49" t="s">
        <v>144</v>
      </c>
      <c r="B48" s="22" t="s">
        <v>130</v>
      </c>
      <c r="C48" s="22" t="s">
        <v>145</v>
      </c>
      <c r="D48" s="8" t="s">
        <v>135</v>
      </c>
      <c r="E48" s="9">
        <v>0</v>
      </c>
      <c r="F48" s="9">
        <f>ROUND(161.28/1.2,5)</f>
        <v>134.4</v>
      </c>
      <c r="G48" s="9">
        <v>0</v>
      </c>
      <c r="H48" s="9">
        <f>ROUND(161.28/1.2*F65/100,5)*3</f>
        <v>424.56960000000004</v>
      </c>
      <c r="I48" s="60" t="s">
        <v>140</v>
      </c>
      <c r="O48" s="9"/>
      <c r="P48" s="9"/>
    </row>
    <row r="49" spans="1:16" ht="90" thickBot="1" x14ac:dyDescent="0.25">
      <c r="A49" s="51" t="s">
        <v>97</v>
      </c>
      <c r="B49" s="52" t="s">
        <v>98</v>
      </c>
      <c r="C49" s="52" t="s">
        <v>266</v>
      </c>
      <c r="D49" s="63" t="s">
        <v>99</v>
      </c>
      <c r="E49" s="53">
        <v>52032.125</v>
      </c>
      <c r="F49" s="53">
        <f>ROUND(62440.486/1.2,5)</f>
        <v>52033.73833</v>
      </c>
      <c r="G49" s="54">
        <v>0</v>
      </c>
      <c r="H49" s="53">
        <f>'2024 корр ИСУ'!E26</f>
        <v>353446.29321999999</v>
      </c>
      <c r="I49" s="64" t="s">
        <v>265</v>
      </c>
      <c r="O49" s="53">
        <f t="shared" ref="O49" si="20">ROUND(F49*1.2,5)</f>
        <v>62440.485999999997</v>
      </c>
      <c r="P49" s="53">
        <f t="shared" ref="P49" si="21">ROUND(H49*1.2,5)</f>
        <v>424135.55186000001</v>
      </c>
    </row>
    <row r="52" spans="1:16" ht="13.5" thickBot="1" x14ac:dyDescent="0.25"/>
    <row r="53" spans="1:16" ht="15.75" x14ac:dyDescent="0.25">
      <c r="D53" s="23"/>
      <c r="E53" s="38">
        <v>2023</v>
      </c>
      <c r="F53" s="38" t="s">
        <v>115</v>
      </c>
      <c r="G53" s="38">
        <v>2024</v>
      </c>
      <c r="H53" s="39" t="s">
        <v>114</v>
      </c>
    </row>
    <row r="54" spans="1:16" ht="15.75" x14ac:dyDescent="0.25">
      <c r="D54" s="24" t="s">
        <v>100</v>
      </c>
      <c r="E54" s="11"/>
      <c r="F54" s="11"/>
      <c r="G54" s="13"/>
      <c r="H54" s="25"/>
    </row>
    <row r="55" spans="1:16" ht="34.5" customHeight="1" x14ac:dyDescent="0.25">
      <c r="D55" s="24" t="s">
        <v>101</v>
      </c>
      <c r="E55" s="26">
        <v>12767.608380000001</v>
      </c>
      <c r="F55" s="26">
        <v>15512.96587</v>
      </c>
      <c r="G55" s="26">
        <v>12808.32819</v>
      </c>
      <c r="H55" s="27">
        <v>14998.398579999999</v>
      </c>
    </row>
    <row r="56" spans="1:16" ht="46.5" customHeight="1" x14ac:dyDescent="0.25">
      <c r="D56" s="24" t="s">
        <v>102</v>
      </c>
      <c r="E56" s="26">
        <v>52032.125</v>
      </c>
      <c r="F56" s="26">
        <f>F58-F57-F55</f>
        <v>49439.070739999996</v>
      </c>
      <c r="G56" s="26">
        <v>2694.0507200000002</v>
      </c>
      <c r="H56" s="27">
        <f>H58-H55-H57</f>
        <v>353685.71017000003</v>
      </c>
    </row>
    <row r="57" spans="1:16" ht="31.5" x14ac:dyDescent="0.25">
      <c r="D57" s="24" t="s">
        <v>103</v>
      </c>
      <c r="E57" s="26">
        <v>2411.4124499999998</v>
      </c>
      <c r="F57" s="26">
        <f>2343.05929+32.76757</f>
        <v>2375.8268600000001</v>
      </c>
      <c r="G57" s="26">
        <f>32.76757</f>
        <v>32.767569999999999</v>
      </c>
      <c r="H57" s="27">
        <f>68.35316</f>
        <v>68.353160000000003</v>
      </c>
    </row>
    <row r="58" spans="1:16" ht="48" thickBot="1" x14ac:dyDescent="0.3">
      <c r="D58" s="28" t="s">
        <v>104</v>
      </c>
      <c r="E58" s="29">
        <v>67211.145829999994</v>
      </c>
      <c r="F58" s="29">
        <f>F6</f>
        <v>67327.863469999997</v>
      </c>
      <c r="G58" s="29">
        <v>15535.146479999999</v>
      </c>
      <c r="H58" s="30">
        <f>H6</f>
        <v>368752.46191000001</v>
      </c>
    </row>
    <row r="60" spans="1:16" x14ac:dyDescent="0.2">
      <c r="E60" s="21"/>
    </row>
    <row r="61" spans="1:16" ht="31.5" x14ac:dyDescent="0.25">
      <c r="B61" s="31" t="s">
        <v>105</v>
      </c>
      <c r="C61" s="31"/>
    </row>
    <row r="62" spans="1:16" ht="18.600000000000001" customHeight="1" x14ac:dyDescent="0.2">
      <c r="B62" s="156" t="s">
        <v>106</v>
      </c>
      <c r="C62" s="156"/>
      <c r="D62" s="156"/>
      <c r="E62" s="156"/>
      <c r="F62" s="156"/>
      <c r="G62" s="156"/>
      <c r="H62" s="156"/>
    </row>
    <row r="63" spans="1:16" ht="63" x14ac:dyDescent="0.25">
      <c r="B63" s="31" t="s">
        <v>107</v>
      </c>
      <c r="C63" s="31"/>
      <c r="H63" s="21"/>
      <c r="I63" s="21"/>
    </row>
    <row r="64" spans="1:16" ht="31.5" x14ac:dyDescent="0.2">
      <c r="C64" s="32"/>
      <c r="D64" s="33" t="s">
        <v>108</v>
      </c>
      <c r="E64" s="16">
        <v>2023</v>
      </c>
      <c r="F64" s="16">
        <v>2024</v>
      </c>
      <c r="I64" s="21"/>
    </row>
    <row r="65" spans="3:8" ht="138" customHeight="1" x14ac:dyDescent="0.2">
      <c r="C65" s="34"/>
      <c r="D65" s="35" t="s">
        <v>109</v>
      </c>
      <c r="E65" s="36">
        <v>105.9</v>
      </c>
      <c r="F65" s="36">
        <v>105.3</v>
      </c>
      <c r="H65" s="21"/>
    </row>
  </sheetData>
  <mergeCells count="2">
    <mergeCell ref="B62:H62"/>
    <mergeCell ref="A2:I2"/>
  </mergeCells>
  <phoneticPr fontId="11" type="noConversion"/>
  <hyperlinks>
    <hyperlink ref="B62" r:id="rId1" xr:uid="{7556F805-2523-4409-BDD1-EA82325D0442}"/>
  </hyperlinks>
  <pageMargins left="0.70866141732283472" right="0.70866141732283472" top="0.74803149606299213" bottom="0.74803149606299213" header="0.31496062992125984" footer="0.31496062992125984"/>
  <pageSetup paperSize="9" scale="40" fitToHeight="2" orientation="portrait" r:id="rId2"/>
  <rowBreaks count="1" manualBreakCount="1">
    <brk id="19" max="13" man="1"/>
  </rowBreaks>
  <colBreaks count="1" manualBreakCount="1">
    <brk id="8" max="6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2FDC-A093-4A2B-9694-38964AC01CD4}">
  <dimension ref="A1:AMJ31"/>
  <sheetViews>
    <sheetView view="pageBreakPreview" topLeftCell="A13" zoomScale="75" zoomScaleNormal="75" zoomScalePageLayoutView="75" workbookViewId="0">
      <selection activeCell="G6" sqref="G6:G10"/>
    </sheetView>
  </sheetViews>
  <sheetFormatPr defaultColWidth="9.140625" defaultRowHeight="15" x14ac:dyDescent="0.25"/>
  <cols>
    <col min="1" max="1" width="6.140625" style="65" customWidth="1"/>
    <col min="2" max="2" width="108.140625" style="65" customWidth="1"/>
    <col min="3" max="3" width="17.7109375" style="65" customWidth="1"/>
    <col min="4" max="4" width="15.28515625" style="65" customWidth="1"/>
    <col min="5" max="5" width="21.7109375" style="65" customWidth="1"/>
    <col min="6" max="6" width="20.28515625" style="65" customWidth="1"/>
    <col min="7" max="7" width="39" style="65" customWidth="1"/>
    <col min="8" max="8" width="46.85546875" style="65" customWidth="1"/>
    <col min="9" max="256" width="9.140625" style="65"/>
    <col min="257" max="257" width="6.140625" style="65" customWidth="1"/>
    <col min="258" max="258" width="108.140625" style="65" customWidth="1"/>
    <col min="259" max="259" width="17.7109375" style="65" customWidth="1"/>
    <col min="260" max="260" width="15.28515625" style="65" customWidth="1"/>
    <col min="261" max="261" width="21.7109375" style="65" customWidth="1"/>
    <col min="262" max="262" width="20.28515625" style="65" customWidth="1"/>
    <col min="263" max="263" width="40.140625" style="65" customWidth="1"/>
    <col min="264" max="264" width="46.85546875" style="65" customWidth="1"/>
    <col min="265" max="512" width="9.140625" style="65"/>
    <col min="513" max="513" width="6.140625" style="65" customWidth="1"/>
    <col min="514" max="514" width="108.140625" style="65" customWidth="1"/>
    <col min="515" max="515" width="17.7109375" style="65" customWidth="1"/>
    <col min="516" max="516" width="15.28515625" style="65" customWidth="1"/>
    <col min="517" max="517" width="21.7109375" style="65" customWidth="1"/>
    <col min="518" max="518" width="20.28515625" style="65" customWidth="1"/>
    <col min="519" max="519" width="40.140625" style="65" customWidth="1"/>
    <col min="520" max="520" width="46.85546875" style="65" customWidth="1"/>
    <col min="521" max="768" width="9.140625" style="65"/>
    <col min="769" max="769" width="6.140625" style="65" customWidth="1"/>
    <col min="770" max="770" width="108.140625" style="65" customWidth="1"/>
    <col min="771" max="771" width="17.7109375" style="65" customWidth="1"/>
    <col min="772" max="772" width="15.28515625" style="65" customWidth="1"/>
    <col min="773" max="773" width="21.7109375" style="65" customWidth="1"/>
    <col min="774" max="774" width="20.28515625" style="65" customWidth="1"/>
    <col min="775" max="775" width="40.140625" style="65" customWidth="1"/>
    <col min="776" max="776" width="46.85546875" style="65" customWidth="1"/>
    <col min="777" max="1024" width="9.140625" style="65"/>
    <col min="1025" max="16384" width="9.140625" style="97"/>
  </cols>
  <sheetData>
    <row r="1" spans="1:8" ht="18.75" x14ac:dyDescent="0.25">
      <c r="G1" s="66" t="s">
        <v>208</v>
      </c>
    </row>
    <row r="2" spans="1:8" ht="30" customHeight="1" x14ac:dyDescent="0.25">
      <c r="B2" s="162" t="s">
        <v>155</v>
      </c>
      <c r="C2" s="162"/>
      <c r="D2" s="162"/>
      <c r="E2" s="162"/>
      <c r="F2" s="162"/>
      <c r="G2" s="67"/>
    </row>
    <row r="3" spans="1:8" ht="30" customHeight="1" x14ac:dyDescent="0.25">
      <c r="A3" s="163" t="s">
        <v>195</v>
      </c>
      <c r="B3" s="163"/>
      <c r="C3" s="163"/>
      <c r="D3" s="163"/>
      <c r="E3" s="163"/>
      <c r="F3" s="163"/>
      <c r="G3" s="67"/>
    </row>
    <row r="4" spans="1:8" ht="90" x14ac:dyDescent="0.25">
      <c r="A4" s="68" t="s">
        <v>1</v>
      </c>
      <c r="B4" s="69" t="s">
        <v>156</v>
      </c>
      <c r="C4" s="68" t="s">
        <v>196</v>
      </c>
      <c r="D4" s="68" t="s">
        <v>158</v>
      </c>
      <c r="E4" s="68" t="s">
        <v>159</v>
      </c>
      <c r="F4" s="68" t="s">
        <v>160</v>
      </c>
      <c r="G4" s="70" t="s">
        <v>161</v>
      </c>
      <c r="H4" s="71"/>
    </row>
    <row r="5" spans="1:8" ht="56.25" x14ac:dyDescent="0.3">
      <c r="A5" s="72" t="s">
        <v>162</v>
      </c>
      <c r="B5" s="73" t="s">
        <v>163</v>
      </c>
      <c r="C5" s="74"/>
      <c r="D5" s="74"/>
      <c r="E5" s="75">
        <f>E6+E9+E10+E11+E12+E7+E8</f>
        <v>52033.738489999996</v>
      </c>
      <c r="F5" s="75">
        <f>F6+F9+F10+F11+F12+F7+F8</f>
        <v>62440.48618</v>
      </c>
      <c r="G5" s="76"/>
      <c r="H5" s="77"/>
    </row>
    <row r="6" spans="1:8" ht="58.5" customHeight="1" x14ac:dyDescent="0.25">
      <c r="A6" s="78" t="s">
        <v>9</v>
      </c>
      <c r="B6" s="79" t="s">
        <v>198</v>
      </c>
      <c r="C6" s="80">
        <v>8965.75</v>
      </c>
      <c r="D6" s="69">
        <v>800</v>
      </c>
      <c r="E6" s="80">
        <f>ROUND(F6/1.2,5)</f>
        <v>5977.1666699999996</v>
      </c>
      <c r="F6" s="80">
        <f>C6*D6/1000</f>
        <v>7172.6</v>
      </c>
      <c r="G6" s="159" t="s">
        <v>203</v>
      </c>
      <c r="H6" s="81"/>
    </row>
    <row r="7" spans="1:8" s="65" customFormat="1" ht="105.75" customHeight="1" x14ac:dyDescent="0.25">
      <c r="A7" s="78" t="s">
        <v>20</v>
      </c>
      <c r="B7" s="79" t="s">
        <v>199</v>
      </c>
      <c r="C7" s="80">
        <v>9745.56</v>
      </c>
      <c r="D7" s="69">
        <v>433</v>
      </c>
      <c r="E7" s="80">
        <f>ROUND(F7/1.2,5)</f>
        <v>3516.5228999999999</v>
      </c>
      <c r="F7" s="80">
        <f t="shared" ref="F7:F8" si="0">C7*D7/1000</f>
        <v>4219.8274799999999</v>
      </c>
      <c r="G7" s="160"/>
      <c r="H7" s="81"/>
    </row>
    <row r="8" spans="1:8" s="65" customFormat="1" ht="105.75" customHeight="1" x14ac:dyDescent="0.25">
      <c r="A8" s="78" t="s">
        <v>25</v>
      </c>
      <c r="B8" s="79" t="s">
        <v>200</v>
      </c>
      <c r="C8" s="80">
        <v>9862.33</v>
      </c>
      <c r="D8" s="69">
        <v>300</v>
      </c>
      <c r="E8" s="80">
        <f>ROUND(F8/1.2,5)</f>
        <v>2465.5825</v>
      </c>
      <c r="F8" s="80">
        <f t="shared" si="0"/>
        <v>2958.6990000000001</v>
      </c>
      <c r="G8" s="160"/>
      <c r="H8" s="81"/>
    </row>
    <row r="9" spans="1:8" s="65" customFormat="1" ht="39.75" customHeight="1" x14ac:dyDescent="0.25">
      <c r="A9" s="78" t="s">
        <v>31</v>
      </c>
      <c r="B9" s="82" t="s">
        <v>201</v>
      </c>
      <c r="C9" s="80">
        <v>22330.45</v>
      </c>
      <c r="D9" s="69">
        <v>1070</v>
      </c>
      <c r="E9" s="80">
        <f t="shared" ref="E9:E10" si="1">ROUND(F9/1.2,5)</f>
        <v>19911.317920000001</v>
      </c>
      <c r="F9" s="80">
        <f t="shared" ref="F9:F10" si="2">C9*D9/1000</f>
        <v>23893.5815</v>
      </c>
      <c r="G9" s="160"/>
      <c r="H9" s="81"/>
    </row>
    <row r="10" spans="1:8" s="65" customFormat="1" ht="39" customHeight="1" x14ac:dyDescent="0.25">
      <c r="A10" s="78" t="s">
        <v>38</v>
      </c>
      <c r="B10" s="82" t="s">
        <v>202</v>
      </c>
      <c r="C10" s="80">
        <v>24440.18</v>
      </c>
      <c r="D10" s="69">
        <v>990</v>
      </c>
      <c r="E10" s="80">
        <f t="shared" si="1"/>
        <v>20163.148499999999</v>
      </c>
      <c r="F10" s="80">
        <f t="shared" si="2"/>
        <v>24195.778200000001</v>
      </c>
      <c r="G10" s="161"/>
    </row>
    <row r="11" spans="1:8" s="65" customFormat="1" x14ac:dyDescent="0.25">
      <c r="A11" s="78" t="s">
        <v>44</v>
      </c>
      <c r="B11" s="82" t="s">
        <v>164</v>
      </c>
      <c r="C11" s="80"/>
      <c r="D11" s="83"/>
      <c r="E11" s="80"/>
      <c r="F11" s="80"/>
      <c r="G11" s="164" t="s">
        <v>165</v>
      </c>
    </row>
    <row r="12" spans="1:8" s="65" customFormat="1" x14ac:dyDescent="0.25">
      <c r="A12" s="78" t="s">
        <v>50</v>
      </c>
      <c r="B12" s="82" t="s">
        <v>166</v>
      </c>
      <c r="C12" s="80"/>
      <c r="D12" s="69"/>
      <c r="E12" s="80"/>
      <c r="F12" s="80"/>
      <c r="G12" s="164"/>
    </row>
    <row r="13" spans="1:8" s="65" customFormat="1" ht="60" x14ac:dyDescent="0.3">
      <c r="A13" s="72" t="s">
        <v>167</v>
      </c>
      <c r="B13" s="84" t="s">
        <v>168</v>
      </c>
      <c r="C13" s="85"/>
      <c r="D13" s="86">
        <v>0</v>
      </c>
      <c r="E13" s="87">
        <f>E14+E15</f>
        <v>0</v>
      </c>
      <c r="F13" s="87">
        <f>F14+F15</f>
        <v>0</v>
      </c>
      <c r="G13" s="88" t="s">
        <v>169</v>
      </c>
    </row>
    <row r="14" spans="1:8" s="65" customFormat="1" ht="31.5" hidden="1" x14ac:dyDescent="0.25">
      <c r="A14" s="78" t="s">
        <v>92</v>
      </c>
      <c r="B14" s="79" t="s">
        <v>170</v>
      </c>
      <c r="C14" s="80">
        <v>17545.2</v>
      </c>
      <c r="D14" s="69">
        <v>0</v>
      </c>
      <c r="E14" s="80">
        <f>F14/1.2</f>
        <v>0</v>
      </c>
      <c r="F14" s="80">
        <f>C14*D14/1000</f>
        <v>0</v>
      </c>
      <c r="G14" s="89"/>
    </row>
    <row r="15" spans="1:8" s="65" customFormat="1" ht="45" hidden="1" customHeight="1" x14ac:dyDescent="0.25">
      <c r="A15" s="78" t="s">
        <v>171</v>
      </c>
      <c r="B15" s="82" t="s">
        <v>172</v>
      </c>
      <c r="C15" s="80"/>
      <c r="D15" s="83">
        <v>0</v>
      </c>
      <c r="E15" s="90">
        <v>0</v>
      </c>
      <c r="F15" s="90">
        <v>0</v>
      </c>
      <c r="G15" s="165"/>
    </row>
    <row r="16" spans="1:8" s="65" customFormat="1" ht="45" hidden="1" x14ac:dyDescent="0.25">
      <c r="A16" s="78" t="s">
        <v>173</v>
      </c>
      <c r="B16" s="91" t="s">
        <v>174</v>
      </c>
      <c r="C16" s="80">
        <v>5625.05</v>
      </c>
      <c r="D16" s="69"/>
      <c r="E16" s="80">
        <f t="shared" ref="E16:E25" si="3">ROUND(F16/1.2,5)</f>
        <v>0</v>
      </c>
      <c r="F16" s="80">
        <f t="shared" ref="F16:F25" si="4">C16*D16/1000</f>
        <v>0</v>
      </c>
      <c r="G16" s="165"/>
    </row>
    <row r="17" spans="1:7" s="65" customFormat="1" ht="45" hidden="1" x14ac:dyDescent="0.25">
      <c r="A17" s="78" t="s">
        <v>175</v>
      </c>
      <c r="B17" s="91" t="s">
        <v>176</v>
      </c>
      <c r="C17" s="80">
        <v>391.06</v>
      </c>
      <c r="D17" s="69"/>
      <c r="E17" s="80">
        <f t="shared" si="3"/>
        <v>0</v>
      </c>
      <c r="F17" s="80">
        <f t="shared" si="4"/>
        <v>0</v>
      </c>
      <c r="G17" s="165"/>
    </row>
    <row r="18" spans="1:7" s="65" customFormat="1" ht="30" hidden="1" x14ac:dyDescent="0.25">
      <c r="A18" s="78" t="s">
        <v>177</v>
      </c>
      <c r="B18" s="91" t="s">
        <v>178</v>
      </c>
      <c r="C18" s="80">
        <v>3418.92</v>
      </c>
      <c r="D18" s="69"/>
      <c r="E18" s="80">
        <f t="shared" si="3"/>
        <v>0</v>
      </c>
      <c r="F18" s="80">
        <f t="shared" si="4"/>
        <v>0</v>
      </c>
      <c r="G18" s="165"/>
    </row>
    <row r="19" spans="1:7" s="65" customFormat="1" ht="30" hidden="1" x14ac:dyDescent="0.25">
      <c r="A19" s="78" t="s">
        <v>179</v>
      </c>
      <c r="B19" s="91" t="s">
        <v>180</v>
      </c>
      <c r="C19" s="80">
        <v>21.31</v>
      </c>
      <c r="D19" s="69"/>
      <c r="E19" s="80">
        <f t="shared" si="3"/>
        <v>0</v>
      </c>
      <c r="F19" s="80">
        <f t="shared" si="4"/>
        <v>0</v>
      </c>
      <c r="G19" s="165"/>
    </row>
    <row r="20" spans="1:7" s="65" customFormat="1" ht="45" hidden="1" x14ac:dyDescent="0.25">
      <c r="A20" s="78" t="s">
        <v>181</v>
      </c>
      <c r="B20" s="91" t="s">
        <v>182</v>
      </c>
      <c r="C20" s="80">
        <v>77.66</v>
      </c>
      <c r="D20" s="69"/>
      <c r="E20" s="80">
        <f t="shared" si="3"/>
        <v>0</v>
      </c>
      <c r="F20" s="80">
        <f t="shared" si="4"/>
        <v>0</v>
      </c>
      <c r="G20" s="165"/>
    </row>
    <row r="21" spans="1:7" s="65" customFormat="1" ht="30" hidden="1" x14ac:dyDescent="0.25">
      <c r="A21" s="78" t="s">
        <v>183</v>
      </c>
      <c r="B21" s="91" t="s">
        <v>184</v>
      </c>
      <c r="C21" s="80">
        <v>316.8</v>
      </c>
      <c r="D21" s="69"/>
      <c r="E21" s="80">
        <f t="shared" si="3"/>
        <v>0</v>
      </c>
      <c r="F21" s="80">
        <f t="shared" si="4"/>
        <v>0</v>
      </c>
      <c r="G21" s="165"/>
    </row>
    <row r="22" spans="1:7" s="65" customFormat="1" ht="30" hidden="1" x14ac:dyDescent="0.25">
      <c r="A22" s="78" t="s">
        <v>185</v>
      </c>
      <c r="B22" s="91" t="s">
        <v>186</v>
      </c>
      <c r="C22" s="80">
        <v>229.08</v>
      </c>
      <c r="D22" s="69"/>
      <c r="E22" s="80">
        <f t="shared" si="3"/>
        <v>0</v>
      </c>
      <c r="F22" s="80">
        <f t="shared" si="4"/>
        <v>0</v>
      </c>
      <c r="G22" s="165"/>
    </row>
    <row r="23" spans="1:7" s="65" customFormat="1" ht="30" hidden="1" x14ac:dyDescent="0.25">
      <c r="A23" s="78" t="s">
        <v>187</v>
      </c>
      <c r="B23" s="91" t="s">
        <v>188</v>
      </c>
      <c r="C23" s="80">
        <v>218.57</v>
      </c>
      <c r="D23" s="69"/>
      <c r="E23" s="80">
        <f t="shared" si="3"/>
        <v>0</v>
      </c>
      <c r="F23" s="80">
        <f t="shared" si="4"/>
        <v>0</v>
      </c>
      <c r="G23" s="165"/>
    </row>
    <row r="24" spans="1:7" s="65" customFormat="1" ht="30" hidden="1" x14ac:dyDescent="0.25">
      <c r="A24" s="78" t="s">
        <v>189</v>
      </c>
      <c r="B24" s="91" t="s">
        <v>190</v>
      </c>
      <c r="C24" s="80">
        <v>3070.48</v>
      </c>
      <c r="D24" s="69"/>
      <c r="E24" s="80">
        <f t="shared" si="3"/>
        <v>0</v>
      </c>
      <c r="F24" s="80">
        <f t="shared" si="4"/>
        <v>0</v>
      </c>
      <c r="G24" s="165"/>
    </row>
    <row r="25" spans="1:7" s="65" customFormat="1" ht="45" hidden="1" x14ac:dyDescent="0.25">
      <c r="A25" s="78" t="s">
        <v>191</v>
      </c>
      <c r="B25" s="91" t="s">
        <v>192</v>
      </c>
      <c r="C25" s="80">
        <v>10441.200000000001</v>
      </c>
      <c r="D25" s="69"/>
      <c r="E25" s="80">
        <f t="shared" si="3"/>
        <v>0</v>
      </c>
      <c r="F25" s="80">
        <f t="shared" si="4"/>
        <v>0</v>
      </c>
      <c r="G25" s="165"/>
    </row>
    <row r="26" spans="1:7" s="65" customFormat="1" ht="18.75" x14ac:dyDescent="0.3">
      <c r="A26" s="72">
        <v>3</v>
      </c>
      <c r="B26" s="92" t="s">
        <v>197</v>
      </c>
      <c r="C26" s="93"/>
      <c r="D26" s="93"/>
      <c r="E26" s="75">
        <f>E13+E5</f>
        <v>52033.738489999996</v>
      </c>
      <c r="F26" s="94">
        <f>F13+F5</f>
        <v>62440.48618</v>
      </c>
      <c r="G26" s="95"/>
    </row>
    <row r="27" spans="1:7" s="65" customFormat="1" x14ac:dyDescent="0.25">
      <c r="C27" s="96"/>
      <c r="D27" s="96"/>
      <c r="E27" s="96"/>
      <c r="F27" s="96"/>
      <c r="G27" s="96"/>
    </row>
    <row r="28" spans="1:7" s="65" customFormat="1" x14ac:dyDescent="0.25">
      <c r="B28" s="96"/>
    </row>
    <row r="29" spans="1:7" s="65" customFormat="1" ht="31.5" customHeight="1" x14ac:dyDescent="0.25">
      <c r="B29" s="158" t="s">
        <v>193</v>
      </c>
      <c r="C29" s="158"/>
      <c r="D29" s="158"/>
      <c r="E29" s="158"/>
      <c r="F29" s="158"/>
    </row>
    <row r="30" spans="1:7" s="65" customFormat="1" ht="46.5" customHeight="1" x14ac:dyDescent="0.25">
      <c r="B30" s="158" t="s">
        <v>194</v>
      </c>
      <c r="C30" s="158"/>
      <c r="D30" s="158"/>
      <c r="E30" s="158"/>
      <c r="F30" s="158"/>
    </row>
    <row r="31" spans="1:7" s="65" customFormat="1" ht="48" customHeight="1" x14ac:dyDescent="0.25">
      <c r="B31" s="158" t="s">
        <v>204</v>
      </c>
      <c r="C31" s="158"/>
      <c r="D31" s="158"/>
      <c r="E31" s="158"/>
      <c r="F31" s="158"/>
    </row>
  </sheetData>
  <mergeCells count="8">
    <mergeCell ref="B31:F31"/>
    <mergeCell ref="G6:G10"/>
    <mergeCell ref="B2:F2"/>
    <mergeCell ref="A3:F3"/>
    <mergeCell ref="G11:G12"/>
    <mergeCell ref="G15:G25"/>
    <mergeCell ref="B29:F29"/>
    <mergeCell ref="B30:F30"/>
  </mergeCells>
  <pageMargins left="0.7" right="0.7" top="0.75" bottom="0.75" header="0.51180555555555496" footer="0.51180555555555496"/>
  <pageSetup paperSize="9" scale="38" firstPageNumber="0" orientation="portrait" horizontalDpi="300" verticalDpi="300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410F0-B09E-4BA5-84A7-8265DD841705}">
  <dimension ref="A1:H158"/>
  <sheetViews>
    <sheetView view="pageBreakPreview" zoomScaleNormal="75" zoomScaleSheetLayoutView="100" workbookViewId="0">
      <selection activeCell="G13" sqref="G13:G23"/>
    </sheetView>
  </sheetViews>
  <sheetFormatPr defaultRowHeight="12.75" x14ac:dyDescent="0.2"/>
  <cols>
    <col min="1" max="1" width="6.140625" style="65" bestFit="1" customWidth="1"/>
    <col min="2" max="2" width="108.140625" style="65" customWidth="1"/>
    <col min="3" max="3" width="17.7109375" style="65" customWidth="1"/>
    <col min="4" max="4" width="15.28515625" style="65" customWidth="1"/>
    <col min="5" max="5" width="21.7109375" style="65" bestFit="1" customWidth="1"/>
    <col min="6" max="6" width="20.28515625" style="65" customWidth="1"/>
    <col min="7" max="7" width="39" style="65" customWidth="1"/>
    <col min="8" max="8" width="16.140625" style="65" customWidth="1"/>
    <col min="9" max="256" width="9.140625" style="65"/>
    <col min="257" max="257" width="6.140625" style="65" bestFit="1" customWidth="1"/>
    <col min="258" max="258" width="108.140625" style="65" customWidth="1"/>
    <col min="259" max="259" width="17.7109375" style="65" customWidth="1"/>
    <col min="260" max="260" width="15.28515625" style="65" customWidth="1"/>
    <col min="261" max="261" width="21.7109375" style="65" bestFit="1" customWidth="1"/>
    <col min="262" max="262" width="20.28515625" style="65" customWidth="1"/>
    <col min="263" max="263" width="40.140625" style="65" customWidth="1"/>
    <col min="264" max="264" width="46.85546875" style="65" customWidth="1"/>
    <col min="265" max="512" width="9.140625" style="65"/>
    <col min="513" max="513" width="6.140625" style="65" bestFit="1" customWidth="1"/>
    <col min="514" max="514" width="108.140625" style="65" customWidth="1"/>
    <col min="515" max="515" width="17.7109375" style="65" customWidth="1"/>
    <col min="516" max="516" width="15.28515625" style="65" customWidth="1"/>
    <col min="517" max="517" width="21.7109375" style="65" bestFit="1" customWidth="1"/>
    <col min="518" max="518" width="20.28515625" style="65" customWidth="1"/>
    <col min="519" max="519" width="40.140625" style="65" customWidth="1"/>
    <col min="520" max="520" width="46.85546875" style="65" customWidth="1"/>
    <col min="521" max="768" width="9.140625" style="65"/>
    <col min="769" max="769" width="6.140625" style="65" bestFit="1" customWidth="1"/>
    <col min="770" max="770" width="108.140625" style="65" customWidth="1"/>
    <col min="771" max="771" width="17.7109375" style="65" customWidth="1"/>
    <col min="772" max="772" width="15.28515625" style="65" customWidth="1"/>
    <col min="773" max="773" width="21.7109375" style="65" bestFit="1" customWidth="1"/>
    <col min="774" max="774" width="20.28515625" style="65" customWidth="1"/>
    <col min="775" max="775" width="40.140625" style="65" customWidth="1"/>
    <col min="776" max="776" width="46.85546875" style="65" customWidth="1"/>
    <col min="777" max="1024" width="9.140625" style="65"/>
    <col min="1025" max="1025" width="6.140625" style="65" bestFit="1" customWidth="1"/>
    <col min="1026" max="1026" width="108.140625" style="65" customWidth="1"/>
    <col min="1027" max="1027" width="17.7109375" style="65" customWidth="1"/>
    <col min="1028" max="1028" width="15.28515625" style="65" customWidth="1"/>
    <col min="1029" max="1029" width="21.7109375" style="65" bestFit="1" customWidth="1"/>
    <col min="1030" max="1030" width="20.28515625" style="65" customWidth="1"/>
    <col min="1031" max="1031" width="40.140625" style="65" customWidth="1"/>
    <col min="1032" max="1032" width="46.85546875" style="65" customWidth="1"/>
    <col min="1033" max="1280" width="9.140625" style="65"/>
    <col min="1281" max="1281" width="6.140625" style="65" bestFit="1" customWidth="1"/>
    <col min="1282" max="1282" width="108.140625" style="65" customWidth="1"/>
    <col min="1283" max="1283" width="17.7109375" style="65" customWidth="1"/>
    <col min="1284" max="1284" width="15.28515625" style="65" customWidth="1"/>
    <col min="1285" max="1285" width="21.7109375" style="65" bestFit="1" customWidth="1"/>
    <col min="1286" max="1286" width="20.28515625" style="65" customWidth="1"/>
    <col min="1287" max="1287" width="40.140625" style="65" customWidth="1"/>
    <col min="1288" max="1288" width="46.85546875" style="65" customWidth="1"/>
    <col min="1289" max="1536" width="9.140625" style="65"/>
    <col min="1537" max="1537" width="6.140625" style="65" bestFit="1" customWidth="1"/>
    <col min="1538" max="1538" width="108.140625" style="65" customWidth="1"/>
    <col min="1539" max="1539" width="17.7109375" style="65" customWidth="1"/>
    <col min="1540" max="1540" width="15.28515625" style="65" customWidth="1"/>
    <col min="1541" max="1541" width="21.7109375" style="65" bestFit="1" customWidth="1"/>
    <col min="1542" max="1542" width="20.28515625" style="65" customWidth="1"/>
    <col min="1543" max="1543" width="40.140625" style="65" customWidth="1"/>
    <col min="1544" max="1544" width="46.85546875" style="65" customWidth="1"/>
    <col min="1545" max="1792" width="9.140625" style="65"/>
    <col min="1793" max="1793" width="6.140625" style="65" bestFit="1" customWidth="1"/>
    <col min="1794" max="1794" width="108.140625" style="65" customWidth="1"/>
    <col min="1795" max="1795" width="17.7109375" style="65" customWidth="1"/>
    <col min="1796" max="1796" width="15.28515625" style="65" customWidth="1"/>
    <col min="1797" max="1797" width="21.7109375" style="65" bestFit="1" customWidth="1"/>
    <col min="1798" max="1798" width="20.28515625" style="65" customWidth="1"/>
    <col min="1799" max="1799" width="40.140625" style="65" customWidth="1"/>
    <col min="1800" max="1800" width="46.85546875" style="65" customWidth="1"/>
    <col min="1801" max="2048" width="9.140625" style="65"/>
    <col min="2049" max="2049" width="6.140625" style="65" bestFit="1" customWidth="1"/>
    <col min="2050" max="2050" width="108.140625" style="65" customWidth="1"/>
    <col min="2051" max="2051" width="17.7109375" style="65" customWidth="1"/>
    <col min="2052" max="2052" width="15.28515625" style="65" customWidth="1"/>
    <col min="2053" max="2053" width="21.7109375" style="65" bestFit="1" customWidth="1"/>
    <col min="2054" max="2054" width="20.28515625" style="65" customWidth="1"/>
    <col min="2055" max="2055" width="40.140625" style="65" customWidth="1"/>
    <col min="2056" max="2056" width="46.85546875" style="65" customWidth="1"/>
    <col min="2057" max="2304" width="9.140625" style="65"/>
    <col min="2305" max="2305" width="6.140625" style="65" bestFit="1" customWidth="1"/>
    <col min="2306" max="2306" width="108.140625" style="65" customWidth="1"/>
    <col min="2307" max="2307" width="17.7109375" style="65" customWidth="1"/>
    <col min="2308" max="2308" width="15.28515625" style="65" customWidth="1"/>
    <col min="2309" max="2309" width="21.7109375" style="65" bestFit="1" customWidth="1"/>
    <col min="2310" max="2310" width="20.28515625" style="65" customWidth="1"/>
    <col min="2311" max="2311" width="40.140625" style="65" customWidth="1"/>
    <col min="2312" max="2312" width="46.85546875" style="65" customWidth="1"/>
    <col min="2313" max="2560" width="9.140625" style="65"/>
    <col min="2561" max="2561" width="6.140625" style="65" bestFit="1" customWidth="1"/>
    <col min="2562" max="2562" width="108.140625" style="65" customWidth="1"/>
    <col min="2563" max="2563" width="17.7109375" style="65" customWidth="1"/>
    <col min="2564" max="2564" width="15.28515625" style="65" customWidth="1"/>
    <col min="2565" max="2565" width="21.7109375" style="65" bestFit="1" customWidth="1"/>
    <col min="2566" max="2566" width="20.28515625" style="65" customWidth="1"/>
    <col min="2567" max="2567" width="40.140625" style="65" customWidth="1"/>
    <col min="2568" max="2568" width="46.85546875" style="65" customWidth="1"/>
    <col min="2569" max="2816" width="9.140625" style="65"/>
    <col min="2817" max="2817" width="6.140625" style="65" bestFit="1" customWidth="1"/>
    <col min="2818" max="2818" width="108.140625" style="65" customWidth="1"/>
    <col min="2819" max="2819" width="17.7109375" style="65" customWidth="1"/>
    <col min="2820" max="2820" width="15.28515625" style="65" customWidth="1"/>
    <col min="2821" max="2821" width="21.7109375" style="65" bestFit="1" customWidth="1"/>
    <col min="2822" max="2822" width="20.28515625" style="65" customWidth="1"/>
    <col min="2823" max="2823" width="40.140625" style="65" customWidth="1"/>
    <col min="2824" max="2824" width="46.85546875" style="65" customWidth="1"/>
    <col min="2825" max="3072" width="9.140625" style="65"/>
    <col min="3073" max="3073" width="6.140625" style="65" bestFit="1" customWidth="1"/>
    <col min="3074" max="3074" width="108.140625" style="65" customWidth="1"/>
    <col min="3075" max="3075" width="17.7109375" style="65" customWidth="1"/>
    <col min="3076" max="3076" width="15.28515625" style="65" customWidth="1"/>
    <col min="3077" max="3077" width="21.7109375" style="65" bestFit="1" customWidth="1"/>
    <col min="3078" max="3078" width="20.28515625" style="65" customWidth="1"/>
    <col min="3079" max="3079" width="40.140625" style="65" customWidth="1"/>
    <col min="3080" max="3080" width="46.85546875" style="65" customWidth="1"/>
    <col min="3081" max="3328" width="9.140625" style="65"/>
    <col min="3329" max="3329" width="6.140625" style="65" bestFit="1" customWidth="1"/>
    <col min="3330" max="3330" width="108.140625" style="65" customWidth="1"/>
    <col min="3331" max="3331" width="17.7109375" style="65" customWidth="1"/>
    <col min="3332" max="3332" width="15.28515625" style="65" customWidth="1"/>
    <col min="3333" max="3333" width="21.7109375" style="65" bestFit="1" customWidth="1"/>
    <col min="3334" max="3334" width="20.28515625" style="65" customWidth="1"/>
    <col min="3335" max="3335" width="40.140625" style="65" customWidth="1"/>
    <col min="3336" max="3336" width="46.85546875" style="65" customWidth="1"/>
    <col min="3337" max="3584" width="9.140625" style="65"/>
    <col min="3585" max="3585" width="6.140625" style="65" bestFit="1" customWidth="1"/>
    <col min="3586" max="3586" width="108.140625" style="65" customWidth="1"/>
    <col min="3587" max="3587" width="17.7109375" style="65" customWidth="1"/>
    <col min="3588" max="3588" width="15.28515625" style="65" customWidth="1"/>
    <col min="3589" max="3589" width="21.7109375" style="65" bestFit="1" customWidth="1"/>
    <col min="3590" max="3590" width="20.28515625" style="65" customWidth="1"/>
    <col min="3591" max="3591" width="40.140625" style="65" customWidth="1"/>
    <col min="3592" max="3592" width="46.85546875" style="65" customWidth="1"/>
    <col min="3593" max="3840" width="9.140625" style="65"/>
    <col min="3841" max="3841" width="6.140625" style="65" bestFit="1" customWidth="1"/>
    <col min="3842" max="3842" width="108.140625" style="65" customWidth="1"/>
    <col min="3843" max="3843" width="17.7109375" style="65" customWidth="1"/>
    <col min="3844" max="3844" width="15.28515625" style="65" customWidth="1"/>
    <col min="3845" max="3845" width="21.7109375" style="65" bestFit="1" customWidth="1"/>
    <col min="3846" max="3846" width="20.28515625" style="65" customWidth="1"/>
    <col min="3847" max="3847" width="40.140625" style="65" customWidth="1"/>
    <col min="3848" max="3848" width="46.85546875" style="65" customWidth="1"/>
    <col min="3849" max="4096" width="9.140625" style="65"/>
    <col min="4097" max="4097" width="6.140625" style="65" bestFit="1" customWidth="1"/>
    <col min="4098" max="4098" width="108.140625" style="65" customWidth="1"/>
    <col min="4099" max="4099" width="17.7109375" style="65" customWidth="1"/>
    <col min="4100" max="4100" width="15.28515625" style="65" customWidth="1"/>
    <col min="4101" max="4101" width="21.7109375" style="65" bestFit="1" customWidth="1"/>
    <col min="4102" max="4102" width="20.28515625" style="65" customWidth="1"/>
    <col min="4103" max="4103" width="40.140625" style="65" customWidth="1"/>
    <col min="4104" max="4104" width="46.85546875" style="65" customWidth="1"/>
    <col min="4105" max="4352" width="9.140625" style="65"/>
    <col min="4353" max="4353" width="6.140625" style="65" bestFit="1" customWidth="1"/>
    <col min="4354" max="4354" width="108.140625" style="65" customWidth="1"/>
    <col min="4355" max="4355" width="17.7109375" style="65" customWidth="1"/>
    <col min="4356" max="4356" width="15.28515625" style="65" customWidth="1"/>
    <col min="4357" max="4357" width="21.7109375" style="65" bestFit="1" customWidth="1"/>
    <col min="4358" max="4358" width="20.28515625" style="65" customWidth="1"/>
    <col min="4359" max="4359" width="40.140625" style="65" customWidth="1"/>
    <col min="4360" max="4360" width="46.85546875" style="65" customWidth="1"/>
    <col min="4361" max="4608" width="9.140625" style="65"/>
    <col min="4609" max="4609" width="6.140625" style="65" bestFit="1" customWidth="1"/>
    <col min="4610" max="4610" width="108.140625" style="65" customWidth="1"/>
    <col min="4611" max="4611" width="17.7109375" style="65" customWidth="1"/>
    <col min="4612" max="4612" width="15.28515625" style="65" customWidth="1"/>
    <col min="4613" max="4613" width="21.7109375" style="65" bestFit="1" customWidth="1"/>
    <col min="4614" max="4614" width="20.28515625" style="65" customWidth="1"/>
    <col min="4615" max="4615" width="40.140625" style="65" customWidth="1"/>
    <col min="4616" max="4616" width="46.85546875" style="65" customWidth="1"/>
    <col min="4617" max="4864" width="9.140625" style="65"/>
    <col min="4865" max="4865" width="6.140625" style="65" bestFit="1" customWidth="1"/>
    <col min="4866" max="4866" width="108.140625" style="65" customWidth="1"/>
    <col min="4867" max="4867" width="17.7109375" style="65" customWidth="1"/>
    <col min="4868" max="4868" width="15.28515625" style="65" customWidth="1"/>
    <col min="4869" max="4869" width="21.7109375" style="65" bestFit="1" customWidth="1"/>
    <col min="4870" max="4870" width="20.28515625" style="65" customWidth="1"/>
    <col min="4871" max="4871" width="40.140625" style="65" customWidth="1"/>
    <col min="4872" max="4872" width="46.85546875" style="65" customWidth="1"/>
    <col min="4873" max="5120" width="9.140625" style="65"/>
    <col min="5121" max="5121" width="6.140625" style="65" bestFit="1" customWidth="1"/>
    <col min="5122" max="5122" width="108.140625" style="65" customWidth="1"/>
    <col min="5123" max="5123" width="17.7109375" style="65" customWidth="1"/>
    <col min="5124" max="5124" width="15.28515625" style="65" customWidth="1"/>
    <col min="5125" max="5125" width="21.7109375" style="65" bestFit="1" customWidth="1"/>
    <col min="5126" max="5126" width="20.28515625" style="65" customWidth="1"/>
    <col min="5127" max="5127" width="40.140625" style="65" customWidth="1"/>
    <col min="5128" max="5128" width="46.85546875" style="65" customWidth="1"/>
    <col min="5129" max="5376" width="9.140625" style="65"/>
    <col min="5377" max="5377" width="6.140625" style="65" bestFit="1" customWidth="1"/>
    <col min="5378" max="5378" width="108.140625" style="65" customWidth="1"/>
    <col min="5379" max="5379" width="17.7109375" style="65" customWidth="1"/>
    <col min="5380" max="5380" width="15.28515625" style="65" customWidth="1"/>
    <col min="5381" max="5381" width="21.7109375" style="65" bestFit="1" customWidth="1"/>
    <col min="5382" max="5382" width="20.28515625" style="65" customWidth="1"/>
    <col min="5383" max="5383" width="40.140625" style="65" customWidth="1"/>
    <col min="5384" max="5384" width="46.85546875" style="65" customWidth="1"/>
    <col min="5385" max="5632" width="9.140625" style="65"/>
    <col min="5633" max="5633" width="6.140625" style="65" bestFit="1" customWidth="1"/>
    <col min="5634" max="5634" width="108.140625" style="65" customWidth="1"/>
    <col min="5635" max="5635" width="17.7109375" style="65" customWidth="1"/>
    <col min="5636" max="5636" width="15.28515625" style="65" customWidth="1"/>
    <col min="5637" max="5637" width="21.7109375" style="65" bestFit="1" customWidth="1"/>
    <col min="5638" max="5638" width="20.28515625" style="65" customWidth="1"/>
    <col min="5639" max="5639" width="40.140625" style="65" customWidth="1"/>
    <col min="5640" max="5640" width="46.85546875" style="65" customWidth="1"/>
    <col min="5641" max="5888" width="9.140625" style="65"/>
    <col min="5889" max="5889" width="6.140625" style="65" bestFit="1" customWidth="1"/>
    <col min="5890" max="5890" width="108.140625" style="65" customWidth="1"/>
    <col min="5891" max="5891" width="17.7109375" style="65" customWidth="1"/>
    <col min="5892" max="5892" width="15.28515625" style="65" customWidth="1"/>
    <col min="5893" max="5893" width="21.7109375" style="65" bestFit="1" customWidth="1"/>
    <col min="5894" max="5894" width="20.28515625" style="65" customWidth="1"/>
    <col min="5895" max="5895" width="40.140625" style="65" customWidth="1"/>
    <col min="5896" max="5896" width="46.85546875" style="65" customWidth="1"/>
    <col min="5897" max="6144" width="9.140625" style="65"/>
    <col min="6145" max="6145" width="6.140625" style="65" bestFit="1" customWidth="1"/>
    <col min="6146" max="6146" width="108.140625" style="65" customWidth="1"/>
    <col min="6147" max="6147" width="17.7109375" style="65" customWidth="1"/>
    <col min="6148" max="6148" width="15.28515625" style="65" customWidth="1"/>
    <col min="6149" max="6149" width="21.7109375" style="65" bestFit="1" customWidth="1"/>
    <col min="6150" max="6150" width="20.28515625" style="65" customWidth="1"/>
    <col min="6151" max="6151" width="40.140625" style="65" customWidth="1"/>
    <col min="6152" max="6152" width="46.85546875" style="65" customWidth="1"/>
    <col min="6153" max="6400" width="9.140625" style="65"/>
    <col min="6401" max="6401" width="6.140625" style="65" bestFit="1" customWidth="1"/>
    <col min="6402" max="6402" width="108.140625" style="65" customWidth="1"/>
    <col min="6403" max="6403" width="17.7109375" style="65" customWidth="1"/>
    <col min="6404" max="6404" width="15.28515625" style="65" customWidth="1"/>
    <col min="6405" max="6405" width="21.7109375" style="65" bestFit="1" customWidth="1"/>
    <col min="6406" max="6406" width="20.28515625" style="65" customWidth="1"/>
    <col min="6407" max="6407" width="40.140625" style="65" customWidth="1"/>
    <col min="6408" max="6408" width="46.85546875" style="65" customWidth="1"/>
    <col min="6409" max="6656" width="9.140625" style="65"/>
    <col min="6657" max="6657" width="6.140625" style="65" bestFit="1" customWidth="1"/>
    <col min="6658" max="6658" width="108.140625" style="65" customWidth="1"/>
    <col min="6659" max="6659" width="17.7109375" style="65" customWidth="1"/>
    <col min="6660" max="6660" width="15.28515625" style="65" customWidth="1"/>
    <col min="6661" max="6661" width="21.7109375" style="65" bestFit="1" customWidth="1"/>
    <col min="6662" max="6662" width="20.28515625" style="65" customWidth="1"/>
    <col min="6663" max="6663" width="40.140625" style="65" customWidth="1"/>
    <col min="6664" max="6664" width="46.85546875" style="65" customWidth="1"/>
    <col min="6665" max="6912" width="9.140625" style="65"/>
    <col min="6913" max="6913" width="6.140625" style="65" bestFit="1" customWidth="1"/>
    <col min="6914" max="6914" width="108.140625" style="65" customWidth="1"/>
    <col min="6915" max="6915" width="17.7109375" style="65" customWidth="1"/>
    <col min="6916" max="6916" width="15.28515625" style="65" customWidth="1"/>
    <col min="6917" max="6917" width="21.7109375" style="65" bestFit="1" customWidth="1"/>
    <col min="6918" max="6918" width="20.28515625" style="65" customWidth="1"/>
    <col min="6919" max="6919" width="40.140625" style="65" customWidth="1"/>
    <col min="6920" max="6920" width="46.85546875" style="65" customWidth="1"/>
    <col min="6921" max="7168" width="9.140625" style="65"/>
    <col min="7169" max="7169" width="6.140625" style="65" bestFit="1" customWidth="1"/>
    <col min="7170" max="7170" width="108.140625" style="65" customWidth="1"/>
    <col min="7171" max="7171" width="17.7109375" style="65" customWidth="1"/>
    <col min="7172" max="7172" width="15.28515625" style="65" customWidth="1"/>
    <col min="7173" max="7173" width="21.7109375" style="65" bestFit="1" customWidth="1"/>
    <col min="7174" max="7174" width="20.28515625" style="65" customWidth="1"/>
    <col min="7175" max="7175" width="40.140625" style="65" customWidth="1"/>
    <col min="7176" max="7176" width="46.85546875" style="65" customWidth="1"/>
    <col min="7177" max="7424" width="9.140625" style="65"/>
    <col min="7425" max="7425" width="6.140625" style="65" bestFit="1" customWidth="1"/>
    <col min="7426" max="7426" width="108.140625" style="65" customWidth="1"/>
    <col min="7427" max="7427" width="17.7109375" style="65" customWidth="1"/>
    <col min="7428" max="7428" width="15.28515625" style="65" customWidth="1"/>
    <col min="7429" max="7429" width="21.7109375" style="65" bestFit="1" customWidth="1"/>
    <col min="7430" max="7430" width="20.28515625" style="65" customWidth="1"/>
    <col min="7431" max="7431" width="40.140625" style="65" customWidth="1"/>
    <col min="7432" max="7432" width="46.85546875" style="65" customWidth="1"/>
    <col min="7433" max="7680" width="9.140625" style="65"/>
    <col min="7681" max="7681" width="6.140625" style="65" bestFit="1" customWidth="1"/>
    <col min="7682" max="7682" width="108.140625" style="65" customWidth="1"/>
    <col min="7683" max="7683" width="17.7109375" style="65" customWidth="1"/>
    <col min="7684" max="7684" width="15.28515625" style="65" customWidth="1"/>
    <col min="7685" max="7685" width="21.7109375" style="65" bestFit="1" customWidth="1"/>
    <col min="7686" max="7686" width="20.28515625" style="65" customWidth="1"/>
    <col min="7687" max="7687" width="40.140625" style="65" customWidth="1"/>
    <col min="7688" max="7688" width="46.85546875" style="65" customWidth="1"/>
    <col min="7689" max="7936" width="9.140625" style="65"/>
    <col min="7937" max="7937" width="6.140625" style="65" bestFit="1" customWidth="1"/>
    <col min="7938" max="7938" width="108.140625" style="65" customWidth="1"/>
    <col min="7939" max="7939" width="17.7109375" style="65" customWidth="1"/>
    <col min="7940" max="7940" width="15.28515625" style="65" customWidth="1"/>
    <col min="7941" max="7941" width="21.7109375" style="65" bestFit="1" customWidth="1"/>
    <col min="7942" max="7942" width="20.28515625" style="65" customWidth="1"/>
    <col min="7943" max="7943" width="40.140625" style="65" customWidth="1"/>
    <col min="7944" max="7944" width="46.85546875" style="65" customWidth="1"/>
    <col min="7945" max="8192" width="9.140625" style="65"/>
    <col min="8193" max="8193" width="6.140625" style="65" bestFit="1" customWidth="1"/>
    <col min="8194" max="8194" width="108.140625" style="65" customWidth="1"/>
    <col min="8195" max="8195" width="17.7109375" style="65" customWidth="1"/>
    <col min="8196" max="8196" width="15.28515625" style="65" customWidth="1"/>
    <col min="8197" max="8197" width="21.7109375" style="65" bestFit="1" customWidth="1"/>
    <col min="8198" max="8198" width="20.28515625" style="65" customWidth="1"/>
    <col min="8199" max="8199" width="40.140625" style="65" customWidth="1"/>
    <col min="8200" max="8200" width="46.85546875" style="65" customWidth="1"/>
    <col min="8201" max="8448" width="9.140625" style="65"/>
    <col min="8449" max="8449" width="6.140625" style="65" bestFit="1" customWidth="1"/>
    <col min="8450" max="8450" width="108.140625" style="65" customWidth="1"/>
    <col min="8451" max="8451" width="17.7109375" style="65" customWidth="1"/>
    <col min="8452" max="8452" width="15.28515625" style="65" customWidth="1"/>
    <col min="8453" max="8453" width="21.7109375" style="65" bestFit="1" customWidth="1"/>
    <col min="8454" max="8454" width="20.28515625" style="65" customWidth="1"/>
    <col min="8455" max="8455" width="40.140625" style="65" customWidth="1"/>
    <col min="8456" max="8456" width="46.85546875" style="65" customWidth="1"/>
    <col min="8457" max="8704" width="9.140625" style="65"/>
    <col min="8705" max="8705" width="6.140625" style="65" bestFit="1" customWidth="1"/>
    <col min="8706" max="8706" width="108.140625" style="65" customWidth="1"/>
    <col min="8707" max="8707" width="17.7109375" style="65" customWidth="1"/>
    <col min="8708" max="8708" width="15.28515625" style="65" customWidth="1"/>
    <col min="8709" max="8709" width="21.7109375" style="65" bestFit="1" customWidth="1"/>
    <col min="8710" max="8710" width="20.28515625" style="65" customWidth="1"/>
    <col min="8711" max="8711" width="40.140625" style="65" customWidth="1"/>
    <col min="8712" max="8712" width="46.85546875" style="65" customWidth="1"/>
    <col min="8713" max="8960" width="9.140625" style="65"/>
    <col min="8961" max="8961" width="6.140625" style="65" bestFit="1" customWidth="1"/>
    <col min="8962" max="8962" width="108.140625" style="65" customWidth="1"/>
    <col min="8963" max="8963" width="17.7109375" style="65" customWidth="1"/>
    <col min="8964" max="8964" width="15.28515625" style="65" customWidth="1"/>
    <col min="8965" max="8965" width="21.7109375" style="65" bestFit="1" customWidth="1"/>
    <col min="8966" max="8966" width="20.28515625" style="65" customWidth="1"/>
    <col min="8967" max="8967" width="40.140625" style="65" customWidth="1"/>
    <col min="8968" max="8968" width="46.85546875" style="65" customWidth="1"/>
    <col min="8969" max="9216" width="9.140625" style="65"/>
    <col min="9217" max="9217" width="6.140625" style="65" bestFit="1" customWidth="1"/>
    <col min="9218" max="9218" width="108.140625" style="65" customWidth="1"/>
    <col min="9219" max="9219" width="17.7109375" style="65" customWidth="1"/>
    <col min="9220" max="9220" width="15.28515625" style="65" customWidth="1"/>
    <col min="9221" max="9221" width="21.7109375" style="65" bestFit="1" customWidth="1"/>
    <col min="9222" max="9222" width="20.28515625" style="65" customWidth="1"/>
    <col min="9223" max="9223" width="40.140625" style="65" customWidth="1"/>
    <col min="9224" max="9224" width="46.85546875" style="65" customWidth="1"/>
    <col min="9225" max="9472" width="9.140625" style="65"/>
    <col min="9473" max="9473" width="6.140625" style="65" bestFit="1" customWidth="1"/>
    <col min="9474" max="9474" width="108.140625" style="65" customWidth="1"/>
    <col min="9475" max="9475" width="17.7109375" style="65" customWidth="1"/>
    <col min="9476" max="9476" width="15.28515625" style="65" customWidth="1"/>
    <col min="9477" max="9477" width="21.7109375" style="65" bestFit="1" customWidth="1"/>
    <col min="9478" max="9478" width="20.28515625" style="65" customWidth="1"/>
    <col min="9479" max="9479" width="40.140625" style="65" customWidth="1"/>
    <col min="9480" max="9480" width="46.85546875" style="65" customWidth="1"/>
    <col min="9481" max="9728" width="9.140625" style="65"/>
    <col min="9729" max="9729" width="6.140625" style="65" bestFit="1" customWidth="1"/>
    <col min="9730" max="9730" width="108.140625" style="65" customWidth="1"/>
    <col min="9731" max="9731" width="17.7109375" style="65" customWidth="1"/>
    <col min="9732" max="9732" width="15.28515625" style="65" customWidth="1"/>
    <col min="9733" max="9733" width="21.7109375" style="65" bestFit="1" customWidth="1"/>
    <col min="9734" max="9734" width="20.28515625" style="65" customWidth="1"/>
    <col min="9735" max="9735" width="40.140625" style="65" customWidth="1"/>
    <col min="9736" max="9736" width="46.85546875" style="65" customWidth="1"/>
    <col min="9737" max="9984" width="9.140625" style="65"/>
    <col min="9985" max="9985" width="6.140625" style="65" bestFit="1" customWidth="1"/>
    <col min="9986" max="9986" width="108.140625" style="65" customWidth="1"/>
    <col min="9987" max="9987" width="17.7109375" style="65" customWidth="1"/>
    <col min="9988" max="9988" width="15.28515625" style="65" customWidth="1"/>
    <col min="9989" max="9989" width="21.7109375" style="65" bestFit="1" customWidth="1"/>
    <col min="9990" max="9990" width="20.28515625" style="65" customWidth="1"/>
    <col min="9991" max="9991" width="40.140625" style="65" customWidth="1"/>
    <col min="9992" max="9992" width="46.85546875" style="65" customWidth="1"/>
    <col min="9993" max="10240" width="9.140625" style="65"/>
    <col min="10241" max="10241" width="6.140625" style="65" bestFit="1" customWidth="1"/>
    <col min="10242" max="10242" width="108.140625" style="65" customWidth="1"/>
    <col min="10243" max="10243" width="17.7109375" style="65" customWidth="1"/>
    <col min="10244" max="10244" width="15.28515625" style="65" customWidth="1"/>
    <col min="10245" max="10245" width="21.7109375" style="65" bestFit="1" customWidth="1"/>
    <col min="10246" max="10246" width="20.28515625" style="65" customWidth="1"/>
    <col min="10247" max="10247" width="40.140625" style="65" customWidth="1"/>
    <col min="10248" max="10248" width="46.85546875" style="65" customWidth="1"/>
    <col min="10249" max="10496" width="9.140625" style="65"/>
    <col min="10497" max="10497" width="6.140625" style="65" bestFit="1" customWidth="1"/>
    <col min="10498" max="10498" width="108.140625" style="65" customWidth="1"/>
    <col min="10499" max="10499" width="17.7109375" style="65" customWidth="1"/>
    <col min="10500" max="10500" width="15.28515625" style="65" customWidth="1"/>
    <col min="10501" max="10501" width="21.7109375" style="65" bestFit="1" customWidth="1"/>
    <col min="10502" max="10502" width="20.28515625" style="65" customWidth="1"/>
    <col min="10503" max="10503" width="40.140625" style="65" customWidth="1"/>
    <col min="10504" max="10504" width="46.85546875" style="65" customWidth="1"/>
    <col min="10505" max="10752" width="9.140625" style="65"/>
    <col min="10753" max="10753" width="6.140625" style="65" bestFit="1" customWidth="1"/>
    <col min="10754" max="10754" width="108.140625" style="65" customWidth="1"/>
    <col min="10755" max="10755" width="17.7109375" style="65" customWidth="1"/>
    <col min="10756" max="10756" width="15.28515625" style="65" customWidth="1"/>
    <col min="10757" max="10757" width="21.7109375" style="65" bestFit="1" customWidth="1"/>
    <col min="10758" max="10758" width="20.28515625" style="65" customWidth="1"/>
    <col min="10759" max="10759" width="40.140625" style="65" customWidth="1"/>
    <col min="10760" max="10760" width="46.85546875" style="65" customWidth="1"/>
    <col min="10761" max="11008" width="9.140625" style="65"/>
    <col min="11009" max="11009" width="6.140625" style="65" bestFit="1" customWidth="1"/>
    <col min="11010" max="11010" width="108.140625" style="65" customWidth="1"/>
    <col min="11011" max="11011" width="17.7109375" style="65" customWidth="1"/>
    <col min="11012" max="11012" width="15.28515625" style="65" customWidth="1"/>
    <col min="11013" max="11013" width="21.7109375" style="65" bestFit="1" customWidth="1"/>
    <col min="11014" max="11014" width="20.28515625" style="65" customWidth="1"/>
    <col min="11015" max="11015" width="40.140625" style="65" customWidth="1"/>
    <col min="11016" max="11016" width="46.85546875" style="65" customWidth="1"/>
    <col min="11017" max="11264" width="9.140625" style="65"/>
    <col min="11265" max="11265" width="6.140625" style="65" bestFit="1" customWidth="1"/>
    <col min="11266" max="11266" width="108.140625" style="65" customWidth="1"/>
    <col min="11267" max="11267" width="17.7109375" style="65" customWidth="1"/>
    <col min="11268" max="11268" width="15.28515625" style="65" customWidth="1"/>
    <col min="11269" max="11269" width="21.7109375" style="65" bestFit="1" customWidth="1"/>
    <col min="11270" max="11270" width="20.28515625" style="65" customWidth="1"/>
    <col min="11271" max="11271" width="40.140625" style="65" customWidth="1"/>
    <col min="11272" max="11272" width="46.85546875" style="65" customWidth="1"/>
    <col min="11273" max="11520" width="9.140625" style="65"/>
    <col min="11521" max="11521" width="6.140625" style="65" bestFit="1" customWidth="1"/>
    <col min="11522" max="11522" width="108.140625" style="65" customWidth="1"/>
    <col min="11523" max="11523" width="17.7109375" style="65" customWidth="1"/>
    <col min="11524" max="11524" width="15.28515625" style="65" customWidth="1"/>
    <col min="11525" max="11525" width="21.7109375" style="65" bestFit="1" customWidth="1"/>
    <col min="11526" max="11526" width="20.28515625" style="65" customWidth="1"/>
    <col min="11527" max="11527" width="40.140625" style="65" customWidth="1"/>
    <col min="11528" max="11528" width="46.85546875" style="65" customWidth="1"/>
    <col min="11529" max="11776" width="9.140625" style="65"/>
    <col min="11777" max="11777" width="6.140625" style="65" bestFit="1" customWidth="1"/>
    <col min="11778" max="11778" width="108.140625" style="65" customWidth="1"/>
    <col min="11779" max="11779" width="17.7109375" style="65" customWidth="1"/>
    <col min="11780" max="11780" width="15.28515625" style="65" customWidth="1"/>
    <col min="11781" max="11781" width="21.7109375" style="65" bestFit="1" customWidth="1"/>
    <col min="11782" max="11782" width="20.28515625" style="65" customWidth="1"/>
    <col min="11783" max="11783" width="40.140625" style="65" customWidth="1"/>
    <col min="11784" max="11784" width="46.85546875" style="65" customWidth="1"/>
    <col min="11785" max="12032" width="9.140625" style="65"/>
    <col min="12033" max="12033" width="6.140625" style="65" bestFit="1" customWidth="1"/>
    <col min="12034" max="12034" width="108.140625" style="65" customWidth="1"/>
    <col min="12035" max="12035" width="17.7109375" style="65" customWidth="1"/>
    <col min="12036" max="12036" width="15.28515625" style="65" customWidth="1"/>
    <col min="12037" max="12037" width="21.7109375" style="65" bestFit="1" customWidth="1"/>
    <col min="12038" max="12038" width="20.28515625" style="65" customWidth="1"/>
    <col min="12039" max="12039" width="40.140625" style="65" customWidth="1"/>
    <col min="12040" max="12040" width="46.85546875" style="65" customWidth="1"/>
    <col min="12041" max="12288" width="9.140625" style="65"/>
    <col min="12289" max="12289" width="6.140625" style="65" bestFit="1" customWidth="1"/>
    <col min="12290" max="12290" width="108.140625" style="65" customWidth="1"/>
    <col min="12291" max="12291" width="17.7109375" style="65" customWidth="1"/>
    <col min="12292" max="12292" width="15.28515625" style="65" customWidth="1"/>
    <col min="12293" max="12293" width="21.7109375" style="65" bestFit="1" customWidth="1"/>
    <col min="12294" max="12294" width="20.28515625" style="65" customWidth="1"/>
    <col min="12295" max="12295" width="40.140625" style="65" customWidth="1"/>
    <col min="12296" max="12296" width="46.85546875" style="65" customWidth="1"/>
    <col min="12297" max="12544" width="9.140625" style="65"/>
    <col min="12545" max="12545" width="6.140625" style="65" bestFit="1" customWidth="1"/>
    <col min="12546" max="12546" width="108.140625" style="65" customWidth="1"/>
    <col min="12547" max="12547" width="17.7109375" style="65" customWidth="1"/>
    <col min="12548" max="12548" width="15.28515625" style="65" customWidth="1"/>
    <col min="12549" max="12549" width="21.7109375" style="65" bestFit="1" customWidth="1"/>
    <col min="12550" max="12550" width="20.28515625" style="65" customWidth="1"/>
    <col min="12551" max="12551" width="40.140625" style="65" customWidth="1"/>
    <col min="12552" max="12552" width="46.85546875" style="65" customWidth="1"/>
    <col min="12553" max="12800" width="9.140625" style="65"/>
    <col min="12801" max="12801" width="6.140625" style="65" bestFit="1" customWidth="1"/>
    <col min="12802" max="12802" width="108.140625" style="65" customWidth="1"/>
    <col min="12803" max="12803" width="17.7109375" style="65" customWidth="1"/>
    <col min="12804" max="12804" width="15.28515625" style="65" customWidth="1"/>
    <col min="12805" max="12805" width="21.7109375" style="65" bestFit="1" customWidth="1"/>
    <col min="12806" max="12806" width="20.28515625" style="65" customWidth="1"/>
    <col min="12807" max="12807" width="40.140625" style="65" customWidth="1"/>
    <col min="12808" max="12808" width="46.85546875" style="65" customWidth="1"/>
    <col min="12809" max="13056" width="9.140625" style="65"/>
    <col min="13057" max="13057" width="6.140625" style="65" bestFit="1" customWidth="1"/>
    <col min="13058" max="13058" width="108.140625" style="65" customWidth="1"/>
    <col min="13059" max="13059" width="17.7109375" style="65" customWidth="1"/>
    <col min="13060" max="13060" width="15.28515625" style="65" customWidth="1"/>
    <col min="13061" max="13061" width="21.7109375" style="65" bestFit="1" customWidth="1"/>
    <col min="13062" max="13062" width="20.28515625" style="65" customWidth="1"/>
    <col min="13063" max="13063" width="40.140625" style="65" customWidth="1"/>
    <col min="13064" max="13064" width="46.85546875" style="65" customWidth="1"/>
    <col min="13065" max="13312" width="9.140625" style="65"/>
    <col min="13313" max="13313" width="6.140625" style="65" bestFit="1" customWidth="1"/>
    <col min="13314" max="13314" width="108.140625" style="65" customWidth="1"/>
    <col min="13315" max="13315" width="17.7109375" style="65" customWidth="1"/>
    <col min="13316" max="13316" width="15.28515625" style="65" customWidth="1"/>
    <col min="13317" max="13317" width="21.7109375" style="65" bestFit="1" customWidth="1"/>
    <col min="13318" max="13318" width="20.28515625" style="65" customWidth="1"/>
    <col min="13319" max="13319" width="40.140625" style="65" customWidth="1"/>
    <col min="13320" max="13320" width="46.85546875" style="65" customWidth="1"/>
    <col min="13321" max="13568" width="9.140625" style="65"/>
    <col min="13569" max="13569" width="6.140625" style="65" bestFit="1" customWidth="1"/>
    <col min="13570" max="13570" width="108.140625" style="65" customWidth="1"/>
    <col min="13571" max="13571" width="17.7109375" style="65" customWidth="1"/>
    <col min="13572" max="13572" width="15.28515625" style="65" customWidth="1"/>
    <col min="13573" max="13573" width="21.7109375" style="65" bestFit="1" customWidth="1"/>
    <col min="13574" max="13574" width="20.28515625" style="65" customWidth="1"/>
    <col min="13575" max="13575" width="40.140625" style="65" customWidth="1"/>
    <col min="13576" max="13576" width="46.85546875" style="65" customWidth="1"/>
    <col min="13577" max="13824" width="9.140625" style="65"/>
    <col min="13825" max="13825" width="6.140625" style="65" bestFit="1" customWidth="1"/>
    <col min="13826" max="13826" width="108.140625" style="65" customWidth="1"/>
    <col min="13827" max="13827" width="17.7109375" style="65" customWidth="1"/>
    <col min="13828" max="13828" width="15.28515625" style="65" customWidth="1"/>
    <col min="13829" max="13829" width="21.7109375" style="65" bestFit="1" customWidth="1"/>
    <col min="13830" max="13830" width="20.28515625" style="65" customWidth="1"/>
    <col min="13831" max="13831" width="40.140625" style="65" customWidth="1"/>
    <col min="13832" max="13832" width="46.85546875" style="65" customWidth="1"/>
    <col min="13833" max="14080" width="9.140625" style="65"/>
    <col min="14081" max="14081" width="6.140625" style="65" bestFit="1" customWidth="1"/>
    <col min="14082" max="14082" width="108.140625" style="65" customWidth="1"/>
    <col min="14083" max="14083" width="17.7109375" style="65" customWidth="1"/>
    <col min="14084" max="14084" width="15.28515625" style="65" customWidth="1"/>
    <col min="14085" max="14085" width="21.7109375" style="65" bestFit="1" customWidth="1"/>
    <col min="14086" max="14086" width="20.28515625" style="65" customWidth="1"/>
    <col min="14087" max="14087" width="40.140625" style="65" customWidth="1"/>
    <col min="14088" max="14088" width="46.85546875" style="65" customWidth="1"/>
    <col min="14089" max="14336" width="9.140625" style="65"/>
    <col min="14337" max="14337" width="6.140625" style="65" bestFit="1" customWidth="1"/>
    <col min="14338" max="14338" width="108.140625" style="65" customWidth="1"/>
    <col min="14339" max="14339" width="17.7109375" style="65" customWidth="1"/>
    <col min="14340" max="14340" width="15.28515625" style="65" customWidth="1"/>
    <col min="14341" max="14341" width="21.7109375" style="65" bestFit="1" customWidth="1"/>
    <col min="14342" max="14342" width="20.28515625" style="65" customWidth="1"/>
    <col min="14343" max="14343" width="40.140625" style="65" customWidth="1"/>
    <col min="14344" max="14344" width="46.85546875" style="65" customWidth="1"/>
    <col min="14345" max="14592" width="9.140625" style="65"/>
    <col min="14593" max="14593" width="6.140625" style="65" bestFit="1" customWidth="1"/>
    <col min="14594" max="14594" width="108.140625" style="65" customWidth="1"/>
    <col min="14595" max="14595" width="17.7109375" style="65" customWidth="1"/>
    <col min="14596" max="14596" width="15.28515625" style="65" customWidth="1"/>
    <col min="14597" max="14597" width="21.7109375" style="65" bestFit="1" customWidth="1"/>
    <col min="14598" max="14598" width="20.28515625" style="65" customWidth="1"/>
    <col min="14599" max="14599" width="40.140625" style="65" customWidth="1"/>
    <col min="14600" max="14600" width="46.85546875" style="65" customWidth="1"/>
    <col min="14601" max="14848" width="9.140625" style="65"/>
    <col min="14849" max="14849" width="6.140625" style="65" bestFit="1" customWidth="1"/>
    <col min="14850" max="14850" width="108.140625" style="65" customWidth="1"/>
    <col min="14851" max="14851" width="17.7109375" style="65" customWidth="1"/>
    <col min="14852" max="14852" width="15.28515625" style="65" customWidth="1"/>
    <col min="14853" max="14853" width="21.7109375" style="65" bestFit="1" customWidth="1"/>
    <col min="14854" max="14854" width="20.28515625" style="65" customWidth="1"/>
    <col min="14855" max="14855" width="40.140625" style="65" customWidth="1"/>
    <col min="14856" max="14856" width="46.85546875" style="65" customWidth="1"/>
    <col min="14857" max="15104" width="9.140625" style="65"/>
    <col min="15105" max="15105" width="6.140625" style="65" bestFit="1" customWidth="1"/>
    <col min="15106" max="15106" width="108.140625" style="65" customWidth="1"/>
    <col min="15107" max="15107" width="17.7109375" style="65" customWidth="1"/>
    <col min="15108" max="15108" width="15.28515625" style="65" customWidth="1"/>
    <col min="15109" max="15109" width="21.7109375" style="65" bestFit="1" customWidth="1"/>
    <col min="15110" max="15110" width="20.28515625" style="65" customWidth="1"/>
    <col min="15111" max="15111" width="40.140625" style="65" customWidth="1"/>
    <col min="15112" max="15112" width="46.85546875" style="65" customWidth="1"/>
    <col min="15113" max="15360" width="9.140625" style="65"/>
    <col min="15361" max="15361" width="6.140625" style="65" bestFit="1" customWidth="1"/>
    <col min="15362" max="15362" width="108.140625" style="65" customWidth="1"/>
    <col min="15363" max="15363" width="17.7109375" style="65" customWidth="1"/>
    <col min="15364" max="15364" width="15.28515625" style="65" customWidth="1"/>
    <col min="15365" max="15365" width="21.7109375" style="65" bestFit="1" customWidth="1"/>
    <col min="15366" max="15366" width="20.28515625" style="65" customWidth="1"/>
    <col min="15367" max="15367" width="40.140625" style="65" customWidth="1"/>
    <col min="15368" max="15368" width="46.85546875" style="65" customWidth="1"/>
    <col min="15369" max="15616" width="9.140625" style="65"/>
    <col min="15617" max="15617" width="6.140625" style="65" bestFit="1" customWidth="1"/>
    <col min="15618" max="15618" width="108.140625" style="65" customWidth="1"/>
    <col min="15619" max="15619" width="17.7109375" style="65" customWidth="1"/>
    <col min="15620" max="15620" width="15.28515625" style="65" customWidth="1"/>
    <col min="15621" max="15621" width="21.7109375" style="65" bestFit="1" customWidth="1"/>
    <col min="15622" max="15622" width="20.28515625" style="65" customWidth="1"/>
    <col min="15623" max="15623" width="40.140625" style="65" customWidth="1"/>
    <col min="15624" max="15624" width="46.85546875" style="65" customWidth="1"/>
    <col min="15625" max="15872" width="9.140625" style="65"/>
    <col min="15873" max="15873" width="6.140625" style="65" bestFit="1" customWidth="1"/>
    <col min="15874" max="15874" width="108.140625" style="65" customWidth="1"/>
    <col min="15875" max="15875" width="17.7109375" style="65" customWidth="1"/>
    <col min="15876" max="15876" width="15.28515625" style="65" customWidth="1"/>
    <col min="15877" max="15877" width="21.7109375" style="65" bestFit="1" customWidth="1"/>
    <col min="15878" max="15878" width="20.28515625" style="65" customWidth="1"/>
    <col min="15879" max="15879" width="40.140625" style="65" customWidth="1"/>
    <col min="15880" max="15880" width="46.85546875" style="65" customWidth="1"/>
    <col min="15881" max="16128" width="9.140625" style="65"/>
    <col min="16129" max="16129" width="6.140625" style="65" bestFit="1" customWidth="1"/>
    <col min="16130" max="16130" width="108.140625" style="65" customWidth="1"/>
    <col min="16131" max="16131" width="17.7109375" style="65" customWidth="1"/>
    <col min="16132" max="16132" width="15.28515625" style="65" customWidth="1"/>
    <col min="16133" max="16133" width="21.7109375" style="65" bestFit="1" customWidth="1"/>
    <col min="16134" max="16134" width="20.28515625" style="65" customWidth="1"/>
    <col min="16135" max="16135" width="40.140625" style="65" customWidth="1"/>
    <col min="16136" max="16136" width="46.85546875" style="65" customWidth="1"/>
    <col min="16137" max="16384" width="9.140625" style="65"/>
  </cols>
  <sheetData>
    <row r="1" spans="1:8" ht="18.75" x14ac:dyDescent="0.2">
      <c r="G1" s="66" t="s">
        <v>154</v>
      </c>
    </row>
    <row r="2" spans="1:8" ht="30" customHeight="1" x14ac:dyDescent="0.2">
      <c r="B2" s="167" t="s">
        <v>155</v>
      </c>
      <c r="C2" s="167"/>
      <c r="D2" s="167"/>
      <c r="E2" s="167"/>
      <c r="F2" s="167"/>
      <c r="G2" s="98"/>
    </row>
    <row r="3" spans="1:8" ht="30" customHeight="1" thickBot="1" x14ac:dyDescent="0.25">
      <c r="A3" s="168" t="s">
        <v>207</v>
      </c>
      <c r="B3" s="168"/>
      <c r="C3" s="168"/>
      <c r="D3" s="168"/>
      <c r="E3" s="168"/>
      <c r="F3" s="168"/>
      <c r="G3" s="98"/>
    </row>
    <row r="4" spans="1:8" ht="90" x14ac:dyDescent="0.25">
      <c r="A4" s="99" t="s">
        <v>1</v>
      </c>
      <c r="B4" s="100" t="s">
        <v>156</v>
      </c>
      <c r="C4" s="101" t="s">
        <v>157</v>
      </c>
      <c r="D4" s="101" t="s">
        <v>214</v>
      </c>
      <c r="E4" s="101" t="s">
        <v>159</v>
      </c>
      <c r="F4" s="101" t="s">
        <v>160</v>
      </c>
      <c r="G4" s="102" t="s">
        <v>161</v>
      </c>
      <c r="H4" s="103"/>
    </row>
    <row r="5" spans="1:8" ht="56.25" x14ac:dyDescent="0.3">
      <c r="A5" s="104" t="s">
        <v>162</v>
      </c>
      <c r="B5" s="105" t="s">
        <v>205</v>
      </c>
      <c r="C5" s="106"/>
      <c r="D5" s="106"/>
      <c r="E5" s="107">
        <f>E6+E7+E8+E9+E10</f>
        <v>327848.15539999993</v>
      </c>
      <c r="F5" s="107">
        <f>F6+F7+F8+F9+F10</f>
        <v>393417.78648000001</v>
      </c>
      <c r="G5" s="108"/>
      <c r="H5" s="77"/>
    </row>
    <row r="6" spans="1:8" ht="89.25" customHeight="1" x14ac:dyDescent="0.25">
      <c r="A6" s="109" t="s">
        <v>9</v>
      </c>
      <c r="B6" s="82" t="s">
        <v>200</v>
      </c>
      <c r="C6" s="80">
        <v>9862.33</v>
      </c>
      <c r="D6" s="148">
        <v>34506</v>
      </c>
      <c r="E6" s="80">
        <f>ROUND(F6/1.2,5)</f>
        <v>283591.29914999998</v>
      </c>
      <c r="F6" s="80">
        <f t="shared" ref="F6:F8" si="0">C6*D6/1000</f>
        <v>340309.55898000003</v>
      </c>
      <c r="G6" s="169" t="s">
        <v>267</v>
      </c>
    </row>
    <row r="7" spans="1:8" ht="39.75" customHeight="1" x14ac:dyDescent="0.25">
      <c r="A7" s="109" t="s">
        <v>20</v>
      </c>
      <c r="B7" s="82" t="s">
        <v>201</v>
      </c>
      <c r="C7" s="80">
        <v>22330.45</v>
      </c>
      <c r="D7" s="69">
        <v>250</v>
      </c>
      <c r="E7" s="80">
        <f t="shared" ref="E7:E8" si="1">ROUND(F7/1.2,5)</f>
        <v>4652.1770800000004</v>
      </c>
      <c r="F7" s="80">
        <f t="shared" si="0"/>
        <v>5582.6125000000002</v>
      </c>
      <c r="G7" s="169"/>
    </row>
    <row r="8" spans="1:8" ht="59.25" customHeight="1" x14ac:dyDescent="0.25">
      <c r="A8" s="109" t="s">
        <v>25</v>
      </c>
      <c r="B8" s="82" t="s">
        <v>202</v>
      </c>
      <c r="C8" s="80">
        <v>24440.18</v>
      </c>
      <c r="D8" s="69">
        <v>250</v>
      </c>
      <c r="E8" s="80">
        <f t="shared" si="1"/>
        <v>5091.70417</v>
      </c>
      <c r="F8" s="80">
        <f t="shared" si="0"/>
        <v>6110.0450000000001</v>
      </c>
      <c r="G8" s="169"/>
    </row>
    <row r="9" spans="1:8" ht="53.25" customHeight="1" x14ac:dyDescent="0.25">
      <c r="A9" s="109" t="s">
        <v>31</v>
      </c>
      <c r="B9" s="112" t="s">
        <v>164</v>
      </c>
      <c r="C9" s="110">
        <v>122535</v>
      </c>
      <c r="D9" s="111">
        <v>302</v>
      </c>
      <c r="E9" s="110">
        <f t="shared" ref="E9:E12" si="2">F9/1.2</f>
        <v>30837.975000000002</v>
      </c>
      <c r="F9" s="110">
        <f>C9*D9/1000</f>
        <v>37005.57</v>
      </c>
      <c r="G9" s="170" t="s">
        <v>263</v>
      </c>
    </row>
    <row r="10" spans="1:8" ht="76.5" customHeight="1" x14ac:dyDescent="0.25">
      <c r="A10" s="109" t="s">
        <v>38</v>
      </c>
      <c r="B10" s="112" t="s">
        <v>166</v>
      </c>
      <c r="C10" s="110">
        <v>14700</v>
      </c>
      <c r="D10" s="111">
        <v>300</v>
      </c>
      <c r="E10" s="110">
        <f t="shared" si="2"/>
        <v>3675</v>
      </c>
      <c r="F10" s="110">
        <f>C10*D10/1000</f>
        <v>4410</v>
      </c>
      <c r="G10" s="171"/>
    </row>
    <row r="11" spans="1:8" ht="18.75" x14ac:dyDescent="0.3">
      <c r="A11" s="104" t="s">
        <v>167</v>
      </c>
      <c r="B11" s="114" t="s">
        <v>168</v>
      </c>
      <c r="C11" s="115"/>
      <c r="D11" s="116">
        <v>302</v>
      </c>
      <c r="E11" s="117">
        <f>E12+E13</f>
        <v>7808.3433800000003</v>
      </c>
      <c r="F11" s="117">
        <f>F12+F13</f>
        <v>9370.0120600000009</v>
      </c>
      <c r="G11" s="118"/>
    </row>
    <row r="12" spans="1:8" ht="30" x14ac:dyDescent="0.25">
      <c r="A12" s="109" t="s">
        <v>92</v>
      </c>
      <c r="B12" s="112" t="s">
        <v>209</v>
      </c>
      <c r="C12" s="110">
        <v>17545.2</v>
      </c>
      <c r="D12" s="111">
        <v>302</v>
      </c>
      <c r="E12" s="110">
        <f t="shared" si="2"/>
        <v>4415.5420000000004</v>
      </c>
      <c r="F12" s="110">
        <f>C12*D12/1000</f>
        <v>5298.6504000000004</v>
      </c>
      <c r="G12" s="119" t="s">
        <v>210</v>
      </c>
    </row>
    <row r="13" spans="1:8" ht="45" customHeight="1" x14ac:dyDescent="0.25">
      <c r="A13" s="109" t="s">
        <v>171</v>
      </c>
      <c r="B13" s="112" t="s">
        <v>218</v>
      </c>
      <c r="C13" s="110"/>
      <c r="D13" s="113">
        <v>302</v>
      </c>
      <c r="E13" s="120">
        <f>SUM(E14:E23)</f>
        <v>3392.8013799999999</v>
      </c>
      <c r="F13" s="120">
        <f>SUM(F14:F23)</f>
        <v>4071.36166</v>
      </c>
      <c r="G13" s="170" t="s">
        <v>269</v>
      </c>
    </row>
    <row r="14" spans="1:8" ht="45" x14ac:dyDescent="0.25">
      <c r="A14" s="109" t="s">
        <v>173</v>
      </c>
      <c r="B14" s="121" t="s">
        <v>174</v>
      </c>
      <c r="C14" s="110">
        <v>4288.4399999999996</v>
      </c>
      <c r="D14" s="111">
        <v>302</v>
      </c>
      <c r="E14" s="110">
        <f>ROUND(F14/1.2,5)</f>
        <v>1079.2574</v>
      </c>
      <c r="F14" s="110">
        <f>C14*D14/1000</f>
        <v>1295.10888</v>
      </c>
      <c r="G14" s="172"/>
    </row>
    <row r="15" spans="1:8" ht="45" x14ac:dyDescent="0.25">
      <c r="A15" s="109" t="s">
        <v>175</v>
      </c>
      <c r="B15" s="121" t="s">
        <v>176</v>
      </c>
      <c r="C15" s="110">
        <v>297.33999999999997</v>
      </c>
      <c r="D15" s="111">
        <f>1000/500*302</f>
        <v>604</v>
      </c>
      <c r="E15" s="110">
        <f t="shared" ref="E15:E23" si="3">ROUND(F15/1.2,5)</f>
        <v>149.66113000000001</v>
      </c>
      <c r="F15" s="110">
        <f t="shared" ref="F15:F23" si="4">C15*D15/1000</f>
        <v>179.59335999999999</v>
      </c>
      <c r="G15" s="172"/>
    </row>
    <row r="16" spans="1:8" ht="30" x14ac:dyDescent="0.25">
      <c r="A16" s="109" t="s">
        <v>177</v>
      </c>
      <c r="B16" s="121" t="s">
        <v>178</v>
      </c>
      <c r="C16" s="110">
        <v>2277</v>
      </c>
      <c r="D16" s="111">
        <v>302</v>
      </c>
      <c r="E16" s="110">
        <f t="shared" si="3"/>
        <v>573.04499999999996</v>
      </c>
      <c r="F16" s="110">
        <f>C16*D16/1000</f>
        <v>687.654</v>
      </c>
      <c r="G16" s="172"/>
    </row>
    <row r="17" spans="1:7" ht="30" x14ac:dyDescent="0.25">
      <c r="A17" s="109" t="s">
        <v>179</v>
      </c>
      <c r="B17" s="121" t="s">
        <v>180</v>
      </c>
      <c r="C17" s="110">
        <v>21.04</v>
      </c>
      <c r="D17" s="111">
        <v>604</v>
      </c>
      <c r="E17" s="110">
        <f t="shared" si="3"/>
        <v>10.59013</v>
      </c>
      <c r="F17" s="110">
        <f t="shared" si="4"/>
        <v>12.708159999999999</v>
      </c>
      <c r="G17" s="172"/>
    </row>
    <row r="18" spans="1:7" ht="30" x14ac:dyDescent="0.25">
      <c r="A18" s="109" t="s">
        <v>181</v>
      </c>
      <c r="B18" s="121" t="s">
        <v>270</v>
      </c>
      <c r="C18" s="110">
        <v>54</v>
      </c>
      <c r="D18" s="111">
        <f>1500/500*302</f>
        <v>906</v>
      </c>
      <c r="E18" s="110">
        <f t="shared" si="3"/>
        <v>40.770000000000003</v>
      </c>
      <c r="F18" s="110">
        <f t="shared" si="4"/>
        <v>48.923999999999999</v>
      </c>
      <c r="G18" s="172"/>
    </row>
    <row r="19" spans="1:7" ht="30" x14ac:dyDescent="0.25">
      <c r="A19" s="109" t="s">
        <v>183</v>
      </c>
      <c r="B19" s="121" t="s">
        <v>184</v>
      </c>
      <c r="C19" s="110">
        <v>239.66</v>
      </c>
      <c r="D19" s="111">
        <f>1500/500*302</f>
        <v>906</v>
      </c>
      <c r="E19" s="110">
        <f t="shared" si="3"/>
        <v>180.94329999999999</v>
      </c>
      <c r="F19" s="110">
        <f t="shared" si="4"/>
        <v>217.13195999999999</v>
      </c>
      <c r="G19" s="172"/>
    </row>
    <row r="20" spans="1:7" ht="30" x14ac:dyDescent="0.25">
      <c r="A20" s="109" t="s">
        <v>185</v>
      </c>
      <c r="B20" s="121" t="s">
        <v>186</v>
      </c>
      <c r="C20" s="110">
        <v>177.65</v>
      </c>
      <c r="D20" s="111">
        <v>302</v>
      </c>
      <c r="E20" s="110">
        <f t="shared" si="3"/>
        <v>44.708579999999998</v>
      </c>
      <c r="F20" s="110">
        <f t="shared" si="4"/>
        <v>53.650300000000001</v>
      </c>
      <c r="G20" s="172"/>
    </row>
    <row r="21" spans="1:7" ht="30" x14ac:dyDescent="0.25">
      <c r="A21" s="109" t="s">
        <v>187</v>
      </c>
      <c r="B21" s="121" t="s">
        <v>188</v>
      </c>
      <c r="C21" s="110">
        <v>200.32</v>
      </c>
      <c r="D21" s="111">
        <v>302</v>
      </c>
      <c r="E21" s="110">
        <f t="shared" si="3"/>
        <v>50.413870000000003</v>
      </c>
      <c r="F21" s="110">
        <f t="shared" si="4"/>
        <v>60.496639999999999</v>
      </c>
      <c r="G21" s="172"/>
    </row>
    <row r="22" spans="1:7" ht="30" x14ac:dyDescent="0.25">
      <c r="A22" s="109" t="s">
        <v>189</v>
      </c>
      <c r="B22" s="121" t="s">
        <v>190</v>
      </c>
      <c r="C22" s="110">
        <v>2404.79</v>
      </c>
      <c r="D22" s="111">
        <f>1000/500*302</f>
        <v>604</v>
      </c>
      <c r="E22" s="110">
        <f t="shared" si="3"/>
        <v>1210.4109699999999</v>
      </c>
      <c r="F22" s="110">
        <f t="shared" si="4"/>
        <v>1452.49316</v>
      </c>
      <c r="G22" s="172"/>
    </row>
    <row r="23" spans="1:7" ht="45" x14ac:dyDescent="0.25">
      <c r="A23" s="109" t="s">
        <v>191</v>
      </c>
      <c r="B23" s="121" t="s">
        <v>192</v>
      </c>
      <c r="C23" s="110">
        <v>7020</v>
      </c>
      <c r="D23" s="111">
        <f>15/500*302</f>
        <v>9.06</v>
      </c>
      <c r="E23" s="110">
        <f t="shared" si="3"/>
        <v>53.000999999999998</v>
      </c>
      <c r="F23" s="110">
        <f t="shared" si="4"/>
        <v>63.601200000000006</v>
      </c>
      <c r="G23" s="171"/>
    </row>
    <row r="24" spans="1:7" ht="18.75" x14ac:dyDescent="0.3">
      <c r="A24" s="104">
        <v>3</v>
      </c>
      <c r="B24" s="122" t="s">
        <v>217</v>
      </c>
      <c r="C24" s="123"/>
      <c r="D24" s="123"/>
      <c r="E24" s="124">
        <f>E11+E5</f>
        <v>335656.49877999991</v>
      </c>
      <c r="F24" s="124">
        <f>F11+F5</f>
        <v>402787.79853999999</v>
      </c>
      <c r="G24" s="125"/>
    </row>
    <row r="25" spans="1:7" ht="18.75" x14ac:dyDescent="0.3">
      <c r="A25" s="126"/>
      <c r="B25" s="122" t="s">
        <v>215</v>
      </c>
      <c r="C25" s="123"/>
      <c r="D25" s="123"/>
      <c r="E25" s="124">
        <v>1.0529999999999999</v>
      </c>
      <c r="F25" s="124">
        <f>E25</f>
        <v>1.0529999999999999</v>
      </c>
      <c r="G25" s="125"/>
    </row>
    <row r="26" spans="1:7" ht="60" customHeight="1" thickBot="1" x14ac:dyDescent="0.35">
      <c r="A26" s="127">
        <v>4</v>
      </c>
      <c r="B26" s="128" t="s">
        <v>216</v>
      </c>
      <c r="C26" s="129"/>
      <c r="D26" s="129"/>
      <c r="E26" s="130">
        <f>ROUND(E24*E25,5)</f>
        <v>353446.29321999999</v>
      </c>
      <c r="F26" s="130">
        <f>ROUND(F24*F25,5)</f>
        <v>424135.55186000001</v>
      </c>
      <c r="G26" s="131"/>
    </row>
    <row r="27" spans="1:7" ht="15" x14ac:dyDescent="0.25">
      <c r="C27" s="132"/>
      <c r="D27" s="132"/>
      <c r="E27" s="132"/>
      <c r="F27" s="132"/>
      <c r="G27" s="132"/>
    </row>
    <row r="28" spans="1:7" ht="15" x14ac:dyDescent="0.25">
      <c r="B28" s="132"/>
    </row>
    <row r="29" spans="1:7" ht="15.75" x14ac:dyDescent="0.25">
      <c r="B29" s="133" t="s">
        <v>105</v>
      </c>
      <c r="C29" s="133"/>
      <c r="D29" s="134"/>
      <c r="E29" s="134"/>
      <c r="F29" s="135"/>
      <c r="G29" s="135"/>
    </row>
    <row r="30" spans="1:7" ht="50.25" customHeight="1" x14ac:dyDescent="0.25">
      <c r="B30" s="136" t="s">
        <v>106</v>
      </c>
      <c r="C30" s="136"/>
      <c r="D30" s="134"/>
      <c r="E30" s="134"/>
      <c r="F30" s="135"/>
      <c r="G30" s="135"/>
    </row>
    <row r="31" spans="1:7" ht="50.25" customHeight="1" x14ac:dyDescent="0.25">
      <c r="B31" s="133" t="s">
        <v>107</v>
      </c>
      <c r="C31" s="133"/>
      <c r="D31" s="134"/>
      <c r="E31" s="134"/>
      <c r="F31" s="135"/>
      <c r="G31" s="135"/>
    </row>
    <row r="32" spans="1:7" ht="15.75" x14ac:dyDescent="0.2">
      <c r="B32" s="137" t="s">
        <v>108</v>
      </c>
      <c r="C32" s="137"/>
      <c r="D32" s="138" t="s">
        <v>206</v>
      </c>
      <c r="E32" s="138" t="s">
        <v>212</v>
      </c>
      <c r="F32" s="138">
        <v>2023</v>
      </c>
      <c r="G32" s="138">
        <v>2024</v>
      </c>
    </row>
    <row r="33" spans="1:7" ht="31.5" x14ac:dyDescent="0.2">
      <c r="B33" s="35" t="s">
        <v>109</v>
      </c>
      <c r="C33" s="35"/>
      <c r="D33" s="139">
        <v>104.9</v>
      </c>
      <c r="E33" s="139">
        <v>113.75</v>
      </c>
      <c r="F33" s="139">
        <v>105.9</v>
      </c>
      <c r="G33" s="139">
        <v>105.3</v>
      </c>
    </row>
    <row r="36" spans="1:7" ht="36" customHeight="1" x14ac:dyDescent="0.25">
      <c r="B36" s="166" t="s">
        <v>271</v>
      </c>
      <c r="C36" s="166"/>
      <c r="D36" s="166"/>
      <c r="E36" s="166"/>
      <c r="F36" s="166"/>
    </row>
    <row r="37" spans="1:7" ht="46.5" customHeight="1" x14ac:dyDescent="0.25">
      <c r="B37" s="166" t="s">
        <v>211</v>
      </c>
      <c r="C37" s="166"/>
      <c r="D37" s="166"/>
      <c r="E37" s="166"/>
      <c r="F37" s="166"/>
    </row>
    <row r="38" spans="1:7" ht="52.5" customHeight="1" x14ac:dyDescent="0.25">
      <c r="B38" s="166" t="s">
        <v>213</v>
      </c>
      <c r="C38" s="166"/>
      <c r="D38" s="166"/>
      <c r="E38" s="166"/>
      <c r="F38" s="166"/>
    </row>
    <row r="41" spans="1:7" ht="15.75" x14ac:dyDescent="0.25">
      <c r="A41" s="140"/>
      <c r="B41" s="141" t="s">
        <v>219</v>
      </c>
      <c r="C41" s="140"/>
      <c r="D41" s="140"/>
      <c r="E41" s="140"/>
      <c r="F41" s="140"/>
      <c r="G41" s="140"/>
    </row>
    <row r="42" spans="1:7" ht="16.5" thickBot="1" x14ac:dyDescent="0.3">
      <c r="A42" s="140"/>
      <c r="B42" s="140"/>
      <c r="C42" s="140"/>
      <c r="D42" s="140"/>
      <c r="E42" s="140"/>
      <c r="F42" s="140"/>
      <c r="G42" s="140"/>
    </row>
    <row r="43" spans="1:7" ht="78.75" x14ac:dyDescent="0.25">
      <c r="A43" s="140"/>
      <c r="B43" s="147" t="s">
        <v>248</v>
      </c>
      <c r="C43" s="146" t="s">
        <v>247</v>
      </c>
      <c r="D43" s="140"/>
      <c r="E43" s="140"/>
      <c r="F43" s="140"/>
      <c r="G43" s="140"/>
    </row>
    <row r="44" spans="1:7" ht="15.75" x14ac:dyDescent="0.25">
      <c r="A44" s="140"/>
      <c r="B44" s="142" t="s">
        <v>220</v>
      </c>
      <c r="C44" s="144">
        <v>1873</v>
      </c>
      <c r="D44" s="140"/>
      <c r="E44" s="140"/>
      <c r="F44" s="140"/>
      <c r="G44" s="140"/>
    </row>
    <row r="45" spans="1:7" ht="15.75" x14ac:dyDescent="0.25">
      <c r="A45" s="140"/>
      <c r="B45" s="142" t="s">
        <v>221</v>
      </c>
      <c r="C45" s="144">
        <v>1054</v>
      </c>
      <c r="D45" s="140"/>
      <c r="E45" s="140"/>
      <c r="F45" s="140"/>
      <c r="G45" s="140"/>
    </row>
    <row r="46" spans="1:7" ht="15.75" x14ac:dyDescent="0.25">
      <c r="A46" s="140"/>
      <c r="B46" s="142" t="s">
        <v>222</v>
      </c>
      <c r="C46" s="144">
        <v>13960</v>
      </c>
      <c r="D46" s="140"/>
      <c r="E46" s="140"/>
      <c r="F46" s="140"/>
      <c r="G46" s="140"/>
    </row>
    <row r="47" spans="1:7" ht="15.75" x14ac:dyDescent="0.25">
      <c r="A47" s="140"/>
      <c r="B47" s="142" t="s">
        <v>223</v>
      </c>
      <c r="C47" s="144">
        <v>8077</v>
      </c>
      <c r="D47" s="140"/>
      <c r="E47" s="140"/>
      <c r="F47" s="140"/>
      <c r="G47" s="140"/>
    </row>
    <row r="48" spans="1:7" ht="15.75" x14ac:dyDescent="0.25">
      <c r="A48" s="140"/>
      <c r="B48" s="142" t="s">
        <v>224</v>
      </c>
      <c r="C48" s="144">
        <v>2597</v>
      </c>
      <c r="D48" s="140"/>
      <c r="E48" s="140"/>
      <c r="F48" s="140"/>
      <c r="G48" s="140"/>
    </row>
    <row r="49" spans="1:7" ht="15.75" x14ac:dyDescent="0.25">
      <c r="A49" s="140"/>
      <c r="B49" s="142" t="s">
        <v>225</v>
      </c>
      <c r="C49" s="144">
        <v>9211</v>
      </c>
      <c r="D49" s="140"/>
      <c r="E49" s="140"/>
      <c r="F49" s="140"/>
      <c r="G49" s="140"/>
    </row>
    <row r="50" spans="1:7" ht="15.75" x14ac:dyDescent="0.25">
      <c r="A50" s="140"/>
      <c r="B50" s="142" t="s">
        <v>226</v>
      </c>
      <c r="C50" s="144">
        <v>2071</v>
      </c>
      <c r="D50" s="140"/>
      <c r="E50" s="140"/>
      <c r="F50" s="140"/>
      <c r="G50" s="140"/>
    </row>
    <row r="51" spans="1:7" ht="15.75" x14ac:dyDescent="0.25">
      <c r="A51" s="140"/>
      <c r="B51" s="142" t="s">
        <v>227</v>
      </c>
      <c r="C51" s="144">
        <v>1615</v>
      </c>
      <c r="D51" s="140"/>
      <c r="E51" s="140"/>
      <c r="F51" s="140"/>
      <c r="G51" s="140"/>
    </row>
    <row r="52" spans="1:7" ht="15.75" x14ac:dyDescent="0.25">
      <c r="A52" s="140"/>
      <c r="B52" s="142" t="s">
        <v>228</v>
      </c>
      <c r="C52" s="144">
        <v>152436</v>
      </c>
      <c r="D52" s="140"/>
      <c r="E52" s="140"/>
      <c r="F52" s="140"/>
      <c r="G52" s="140"/>
    </row>
    <row r="53" spans="1:7" ht="15.75" x14ac:dyDescent="0.25">
      <c r="A53" s="140"/>
      <c r="B53" s="142" t="s">
        <v>229</v>
      </c>
      <c r="C53" s="144">
        <v>4966</v>
      </c>
      <c r="D53" s="140"/>
      <c r="E53" s="140"/>
      <c r="F53" s="140"/>
      <c r="G53" s="140"/>
    </row>
    <row r="54" spans="1:7" ht="15.75" x14ac:dyDescent="0.25">
      <c r="A54" s="140"/>
      <c r="B54" s="142" t="s">
        <v>230</v>
      </c>
      <c r="C54" s="144">
        <v>4468</v>
      </c>
      <c r="D54" s="140"/>
      <c r="E54" s="140"/>
      <c r="F54" s="140"/>
      <c r="G54" s="140"/>
    </row>
    <row r="55" spans="1:7" ht="15.75" x14ac:dyDescent="0.25">
      <c r="A55" s="140"/>
      <c r="B55" s="142" t="s">
        <v>231</v>
      </c>
      <c r="C55" s="144">
        <v>7549</v>
      </c>
      <c r="D55" s="140"/>
      <c r="E55" s="140"/>
      <c r="F55" s="140"/>
      <c r="G55" s="140"/>
    </row>
    <row r="56" spans="1:7" ht="15.75" x14ac:dyDescent="0.25">
      <c r="A56" s="140"/>
      <c r="B56" s="142" t="s">
        <v>232</v>
      </c>
      <c r="C56" s="144">
        <v>1203</v>
      </c>
      <c r="D56" s="140"/>
      <c r="E56" s="140"/>
      <c r="F56" s="140"/>
      <c r="G56" s="140"/>
    </row>
    <row r="57" spans="1:7" ht="15.75" x14ac:dyDescent="0.25">
      <c r="A57" s="140"/>
      <c r="B57" s="142" t="s">
        <v>233</v>
      </c>
      <c r="C57" s="144">
        <v>11951</v>
      </c>
      <c r="D57" s="140"/>
      <c r="E57" s="140"/>
      <c r="F57" s="140"/>
      <c r="G57" s="140"/>
    </row>
    <row r="58" spans="1:7" ht="15.75" x14ac:dyDescent="0.25">
      <c r="A58" s="140"/>
      <c r="B58" s="142" t="s">
        <v>234</v>
      </c>
      <c r="C58" s="144">
        <v>4929</v>
      </c>
      <c r="D58" s="140"/>
      <c r="E58" s="140"/>
      <c r="F58" s="140"/>
      <c r="G58" s="140"/>
    </row>
    <row r="59" spans="1:7" ht="15.75" x14ac:dyDescent="0.25">
      <c r="A59" s="140"/>
      <c r="B59" s="142" t="s">
        <v>235</v>
      </c>
      <c r="C59" s="144">
        <v>3370</v>
      </c>
      <c r="D59" s="140"/>
      <c r="E59" s="140"/>
      <c r="F59" s="140"/>
      <c r="G59" s="140"/>
    </row>
    <row r="60" spans="1:7" ht="15.75" x14ac:dyDescent="0.25">
      <c r="A60" s="140"/>
      <c r="B60" s="142" t="s">
        <v>236</v>
      </c>
      <c r="C60" s="144">
        <v>1150</v>
      </c>
      <c r="D60" s="140"/>
      <c r="E60" s="140"/>
      <c r="F60" s="140"/>
      <c r="G60" s="140"/>
    </row>
    <row r="61" spans="1:7" ht="15.75" x14ac:dyDescent="0.25">
      <c r="A61" s="140"/>
      <c r="B61" s="142" t="s">
        <v>237</v>
      </c>
      <c r="C61" s="144">
        <v>1781</v>
      </c>
      <c r="D61" s="140"/>
      <c r="E61" s="140"/>
      <c r="F61" s="140"/>
      <c r="G61" s="140"/>
    </row>
    <row r="62" spans="1:7" ht="15.75" x14ac:dyDescent="0.25">
      <c r="A62" s="140"/>
      <c r="B62" s="142" t="s">
        <v>238</v>
      </c>
      <c r="C62" s="144">
        <v>1648</v>
      </c>
      <c r="D62" s="140"/>
      <c r="E62" s="140"/>
      <c r="F62" s="140"/>
      <c r="G62" s="140"/>
    </row>
    <row r="63" spans="1:7" ht="15.75" x14ac:dyDescent="0.25">
      <c r="A63" s="140"/>
      <c r="B63" s="142" t="s">
        <v>239</v>
      </c>
      <c r="C63" s="144">
        <v>1242</v>
      </c>
      <c r="D63" s="140"/>
      <c r="E63" s="140"/>
      <c r="F63" s="140"/>
      <c r="G63" s="140"/>
    </row>
    <row r="64" spans="1:7" ht="15.75" x14ac:dyDescent="0.25">
      <c r="A64" s="140"/>
      <c r="B64" s="142" t="s">
        <v>240</v>
      </c>
      <c r="C64" s="144">
        <v>729</v>
      </c>
      <c r="D64" s="140"/>
      <c r="E64" s="140"/>
      <c r="F64" s="140"/>
      <c r="G64" s="140"/>
    </row>
    <row r="65" spans="1:8" ht="15.75" x14ac:dyDescent="0.25">
      <c r="A65" s="140"/>
      <c r="B65" s="142" t="s">
        <v>241</v>
      </c>
      <c r="C65" s="144">
        <v>2739</v>
      </c>
      <c r="D65" s="140"/>
      <c r="E65" s="140"/>
      <c r="F65" s="140"/>
      <c r="G65" s="140"/>
    </row>
    <row r="66" spans="1:8" ht="15.75" x14ac:dyDescent="0.25">
      <c r="A66" s="140"/>
      <c r="B66" s="142" t="s">
        <v>242</v>
      </c>
      <c r="C66" s="144">
        <v>4207</v>
      </c>
      <c r="D66" s="140"/>
      <c r="E66" s="140"/>
      <c r="F66" s="140"/>
      <c r="G66" s="140"/>
    </row>
    <row r="67" spans="1:8" ht="15.75" x14ac:dyDescent="0.25">
      <c r="A67" s="140"/>
      <c r="B67" s="142" t="s">
        <v>243</v>
      </c>
      <c r="C67" s="144">
        <v>2487</v>
      </c>
      <c r="D67" s="140"/>
      <c r="E67" s="140"/>
      <c r="F67" s="140"/>
      <c r="G67" s="140"/>
    </row>
    <row r="68" spans="1:8" ht="15.75" x14ac:dyDescent="0.25">
      <c r="A68" s="140"/>
      <c r="B68" s="142" t="s">
        <v>244</v>
      </c>
      <c r="C68" s="144">
        <v>3255</v>
      </c>
      <c r="D68" s="140"/>
      <c r="E68" s="140"/>
      <c r="F68" s="140"/>
      <c r="G68" s="140"/>
    </row>
    <row r="69" spans="1:8" ht="15.75" x14ac:dyDescent="0.25">
      <c r="A69" s="140"/>
      <c r="B69" s="142" t="s">
        <v>245</v>
      </c>
      <c r="C69" s="144">
        <v>13334</v>
      </c>
      <c r="D69" s="140"/>
      <c r="E69" s="140"/>
      <c r="F69" s="140"/>
      <c r="G69" s="140"/>
    </row>
    <row r="70" spans="1:8" ht="16.5" thickBot="1" x14ac:dyDescent="0.3">
      <c r="A70" s="140"/>
      <c r="B70" s="143" t="s">
        <v>246</v>
      </c>
      <c r="C70" s="145">
        <f>SUM(C44:C69)</f>
        <v>263902</v>
      </c>
      <c r="D70" s="140"/>
      <c r="E70" s="140"/>
      <c r="F70" s="140"/>
      <c r="G70" s="140"/>
    </row>
    <row r="71" spans="1:8" ht="15.75" x14ac:dyDescent="0.25">
      <c r="A71" s="140"/>
      <c r="B71" s="140"/>
      <c r="C71" s="140"/>
      <c r="D71" s="140"/>
      <c r="E71" s="140"/>
      <c r="F71" s="140"/>
      <c r="G71" s="140"/>
    </row>
    <row r="72" spans="1:8" ht="15.75" x14ac:dyDescent="0.25">
      <c r="A72" s="140"/>
      <c r="B72" s="140"/>
      <c r="C72" s="140"/>
      <c r="D72" s="140"/>
      <c r="E72" s="140"/>
      <c r="F72" s="140"/>
      <c r="G72" s="140"/>
    </row>
    <row r="73" spans="1:8" ht="15.75" x14ac:dyDescent="0.25">
      <c r="A73" s="140"/>
      <c r="B73" s="140"/>
      <c r="C73" s="140"/>
      <c r="D73" s="140"/>
      <c r="E73" s="140"/>
      <c r="F73" s="140"/>
      <c r="G73" s="140"/>
    </row>
    <row r="74" spans="1:8" ht="16.5" thickBot="1" x14ac:dyDescent="0.3">
      <c r="A74" s="140"/>
      <c r="B74" s="140"/>
      <c r="C74" s="140"/>
      <c r="D74" s="140"/>
      <c r="E74" s="140"/>
      <c r="F74" s="140"/>
      <c r="G74" s="140"/>
    </row>
    <row r="75" spans="1:8" ht="110.25" x14ac:dyDescent="0.25">
      <c r="A75" s="140"/>
      <c r="B75" s="41" t="s">
        <v>256</v>
      </c>
      <c r="C75" s="38" t="s">
        <v>251</v>
      </c>
      <c r="D75" s="38" t="s">
        <v>252</v>
      </c>
      <c r="E75" s="38" t="s">
        <v>253</v>
      </c>
      <c r="F75" s="38" t="s">
        <v>249</v>
      </c>
      <c r="G75" s="38" t="s">
        <v>254</v>
      </c>
      <c r="H75" s="39" t="s">
        <v>255</v>
      </c>
    </row>
    <row r="76" spans="1:8" ht="16.5" thickBot="1" x14ac:dyDescent="0.3">
      <c r="A76" s="140"/>
      <c r="B76" s="149" t="s">
        <v>250</v>
      </c>
      <c r="C76" s="150">
        <v>25082</v>
      </c>
      <c r="D76" s="150">
        <v>3082</v>
      </c>
      <c r="E76" s="150">
        <v>2496</v>
      </c>
      <c r="F76" s="150">
        <v>1846</v>
      </c>
      <c r="G76" s="150">
        <v>2000</v>
      </c>
      <c r="H76" s="151">
        <f>G76+F76+E76+D76+C76</f>
        <v>34506</v>
      </c>
    </row>
    <row r="77" spans="1:8" ht="15.75" x14ac:dyDescent="0.25">
      <c r="A77" s="140"/>
      <c r="B77" s="140"/>
      <c r="C77" s="140"/>
      <c r="D77" s="140"/>
      <c r="E77" s="140"/>
      <c r="F77" s="140"/>
      <c r="G77" s="140"/>
    </row>
    <row r="78" spans="1:8" ht="15.75" x14ac:dyDescent="0.25">
      <c r="A78" s="140"/>
      <c r="B78" s="140"/>
      <c r="C78" s="140"/>
      <c r="D78" s="140"/>
      <c r="E78" s="140"/>
      <c r="F78" s="140"/>
      <c r="G78" s="140"/>
    </row>
    <row r="79" spans="1:8" ht="15.75" x14ac:dyDescent="0.25">
      <c r="A79" s="140"/>
      <c r="B79" s="141" t="s">
        <v>258</v>
      </c>
      <c r="C79" s="140"/>
      <c r="D79" s="140"/>
      <c r="E79" s="140"/>
      <c r="F79" s="140"/>
      <c r="G79" s="140"/>
    </row>
    <row r="80" spans="1:8" ht="16.5" thickBot="1" x14ac:dyDescent="0.3">
      <c r="A80" s="140"/>
      <c r="B80" s="140"/>
      <c r="C80" s="140"/>
      <c r="D80" s="140"/>
      <c r="E80" s="140"/>
      <c r="F80" s="140"/>
      <c r="G80" s="140"/>
    </row>
    <row r="81" spans="1:7" ht="189" x14ac:dyDescent="0.25">
      <c r="A81" s="140"/>
      <c r="B81" s="152"/>
      <c r="C81" s="38" t="s">
        <v>257</v>
      </c>
      <c r="D81" s="38" t="s">
        <v>260</v>
      </c>
      <c r="E81" s="38" t="s">
        <v>261</v>
      </c>
      <c r="F81" s="39" t="s">
        <v>262</v>
      </c>
    </row>
    <row r="82" spans="1:7" ht="48" thickBot="1" x14ac:dyDescent="0.3">
      <c r="A82" s="140"/>
      <c r="B82" s="153" t="s">
        <v>259</v>
      </c>
      <c r="C82" s="150">
        <f>C70</f>
        <v>263902</v>
      </c>
      <c r="D82" s="150">
        <v>750</v>
      </c>
      <c r="E82" s="150">
        <v>50</v>
      </c>
      <c r="F82" s="154">
        <f>ROUND((C82/D82)-E82,0)</f>
        <v>302</v>
      </c>
    </row>
    <row r="83" spans="1:7" ht="15.75" x14ac:dyDescent="0.25">
      <c r="A83" s="140"/>
      <c r="B83" s="140"/>
      <c r="C83" s="140"/>
      <c r="D83" s="140"/>
      <c r="E83" s="140"/>
      <c r="F83" s="140"/>
      <c r="G83" s="140"/>
    </row>
    <row r="84" spans="1:7" ht="15.75" x14ac:dyDescent="0.25">
      <c r="A84" s="140"/>
      <c r="B84" s="140"/>
      <c r="C84" s="140"/>
      <c r="D84" s="140"/>
      <c r="E84" s="140"/>
      <c r="F84" s="140"/>
      <c r="G84" s="140"/>
    </row>
    <row r="85" spans="1:7" ht="15.75" x14ac:dyDescent="0.25">
      <c r="A85" s="140"/>
      <c r="B85" s="140"/>
      <c r="C85" s="140"/>
      <c r="D85" s="140"/>
      <c r="E85" s="140"/>
      <c r="F85" s="140"/>
      <c r="G85" s="140"/>
    </row>
    <row r="86" spans="1:7" ht="15.75" x14ac:dyDescent="0.25">
      <c r="A86" s="140"/>
      <c r="B86" s="140"/>
      <c r="C86" s="140"/>
      <c r="D86" s="140"/>
      <c r="E86" s="140"/>
      <c r="F86" s="140"/>
      <c r="G86" s="140"/>
    </row>
    <row r="87" spans="1:7" ht="15.75" x14ac:dyDescent="0.25">
      <c r="A87" s="140"/>
      <c r="B87" s="140"/>
      <c r="C87" s="140"/>
      <c r="D87" s="140"/>
      <c r="E87" s="140"/>
      <c r="F87" s="140"/>
      <c r="G87" s="140"/>
    </row>
    <row r="88" spans="1:7" ht="15.75" x14ac:dyDescent="0.25">
      <c r="A88" s="140"/>
      <c r="B88" s="140"/>
      <c r="C88" s="140"/>
      <c r="D88" s="140"/>
      <c r="E88" s="140"/>
      <c r="F88" s="140"/>
      <c r="G88" s="140"/>
    </row>
    <row r="89" spans="1:7" ht="15.75" x14ac:dyDescent="0.25">
      <c r="A89" s="140"/>
      <c r="B89" s="140"/>
      <c r="C89" s="140"/>
      <c r="D89" s="140"/>
      <c r="E89" s="140"/>
      <c r="F89" s="140"/>
      <c r="G89" s="140"/>
    </row>
    <row r="90" spans="1:7" ht="15.75" x14ac:dyDescent="0.25">
      <c r="A90" s="140"/>
      <c r="B90" s="140"/>
      <c r="C90" s="140"/>
      <c r="D90" s="140"/>
      <c r="E90" s="140"/>
      <c r="F90" s="140"/>
      <c r="G90" s="140"/>
    </row>
    <row r="91" spans="1:7" ht="15.75" x14ac:dyDescent="0.25">
      <c r="A91" s="140"/>
      <c r="B91" s="140"/>
      <c r="C91" s="140"/>
      <c r="D91" s="140"/>
      <c r="E91" s="140"/>
      <c r="F91" s="140"/>
      <c r="G91" s="140"/>
    </row>
    <row r="92" spans="1:7" ht="15.75" x14ac:dyDescent="0.25">
      <c r="A92" s="140"/>
      <c r="B92" s="140"/>
      <c r="C92" s="140"/>
      <c r="D92" s="140"/>
      <c r="E92" s="140"/>
      <c r="F92" s="140"/>
      <c r="G92" s="140"/>
    </row>
    <row r="93" spans="1:7" ht="15.75" x14ac:dyDescent="0.25">
      <c r="A93" s="140"/>
      <c r="B93" s="140"/>
      <c r="C93" s="140"/>
      <c r="D93" s="140"/>
      <c r="E93" s="140"/>
      <c r="F93" s="140"/>
      <c r="G93" s="140"/>
    </row>
    <row r="94" spans="1:7" ht="15.75" x14ac:dyDescent="0.25">
      <c r="A94" s="140"/>
      <c r="B94" s="140"/>
      <c r="C94" s="140"/>
      <c r="D94" s="140"/>
      <c r="E94" s="140"/>
      <c r="F94" s="140"/>
      <c r="G94" s="140"/>
    </row>
    <row r="95" spans="1:7" ht="15.75" x14ac:dyDescent="0.25">
      <c r="A95" s="140"/>
      <c r="B95" s="140"/>
      <c r="C95" s="140"/>
      <c r="D95" s="140"/>
      <c r="E95" s="140"/>
      <c r="F95" s="140"/>
      <c r="G95" s="140"/>
    </row>
    <row r="96" spans="1:7" ht="15.75" x14ac:dyDescent="0.25">
      <c r="A96" s="140"/>
      <c r="B96" s="140"/>
      <c r="C96" s="140"/>
      <c r="D96" s="140"/>
      <c r="E96" s="140"/>
      <c r="F96" s="140"/>
      <c r="G96" s="140"/>
    </row>
    <row r="97" spans="1:7" ht="15.75" x14ac:dyDescent="0.25">
      <c r="A97" s="140"/>
      <c r="B97" s="140"/>
      <c r="C97" s="140"/>
      <c r="D97" s="140"/>
      <c r="E97" s="140"/>
      <c r="F97" s="140"/>
      <c r="G97" s="140"/>
    </row>
    <row r="98" spans="1:7" ht="15.75" x14ac:dyDescent="0.25">
      <c r="A98" s="140"/>
      <c r="B98" s="140"/>
      <c r="C98" s="140"/>
      <c r="D98" s="140"/>
      <c r="E98" s="140"/>
      <c r="F98" s="140"/>
      <c r="G98" s="140"/>
    </row>
    <row r="99" spans="1:7" ht="15.75" x14ac:dyDescent="0.25">
      <c r="A99" s="140"/>
      <c r="B99" s="140"/>
      <c r="C99" s="140"/>
      <c r="D99" s="140"/>
      <c r="E99" s="140"/>
      <c r="F99" s="140"/>
      <c r="G99" s="140"/>
    </row>
    <row r="100" spans="1:7" ht="15.75" x14ac:dyDescent="0.25">
      <c r="A100" s="140"/>
      <c r="B100" s="140"/>
      <c r="C100" s="140"/>
      <c r="D100" s="140"/>
      <c r="E100" s="140"/>
      <c r="F100" s="140"/>
      <c r="G100" s="140"/>
    </row>
    <row r="101" spans="1:7" ht="15.75" x14ac:dyDescent="0.25">
      <c r="A101" s="140"/>
      <c r="B101" s="140"/>
      <c r="C101" s="140"/>
      <c r="D101" s="140"/>
      <c r="E101" s="140"/>
      <c r="F101" s="140"/>
      <c r="G101" s="140"/>
    </row>
    <row r="102" spans="1:7" ht="15.75" x14ac:dyDescent="0.25">
      <c r="A102" s="140"/>
      <c r="B102" s="140"/>
      <c r="C102" s="140"/>
      <c r="D102" s="140"/>
      <c r="E102" s="140"/>
      <c r="F102" s="140"/>
      <c r="G102" s="140"/>
    </row>
    <row r="103" spans="1:7" ht="15.75" x14ac:dyDescent="0.25">
      <c r="A103" s="140"/>
      <c r="B103" s="140"/>
      <c r="C103" s="140"/>
      <c r="D103" s="140"/>
      <c r="E103" s="140"/>
      <c r="F103" s="140"/>
      <c r="G103" s="140"/>
    </row>
    <row r="104" spans="1:7" ht="15.75" x14ac:dyDescent="0.25">
      <c r="A104" s="140"/>
      <c r="B104" s="140"/>
      <c r="C104" s="140"/>
      <c r="D104" s="140"/>
      <c r="E104" s="140"/>
      <c r="F104" s="140"/>
      <c r="G104" s="140"/>
    </row>
    <row r="105" spans="1:7" ht="15.75" x14ac:dyDescent="0.25">
      <c r="A105" s="140"/>
      <c r="B105" s="140"/>
      <c r="C105" s="140"/>
      <c r="D105" s="140"/>
      <c r="E105" s="140"/>
      <c r="F105" s="140"/>
      <c r="G105" s="140"/>
    </row>
    <row r="106" spans="1:7" ht="15.75" x14ac:dyDescent="0.25">
      <c r="A106" s="140"/>
      <c r="B106" s="140"/>
      <c r="C106" s="140"/>
      <c r="D106" s="140"/>
      <c r="E106" s="140"/>
      <c r="F106" s="140"/>
      <c r="G106" s="140"/>
    </row>
    <row r="107" spans="1:7" ht="15.75" x14ac:dyDescent="0.25">
      <c r="A107" s="140"/>
      <c r="B107" s="140"/>
      <c r="C107" s="140"/>
      <c r="D107" s="140"/>
      <c r="E107" s="140"/>
      <c r="F107" s="140"/>
      <c r="G107" s="140"/>
    </row>
    <row r="108" spans="1:7" ht="15.75" x14ac:dyDescent="0.25">
      <c r="A108" s="140"/>
      <c r="B108" s="140"/>
      <c r="C108" s="140"/>
      <c r="D108" s="140"/>
      <c r="E108" s="140"/>
      <c r="F108" s="140"/>
      <c r="G108" s="140"/>
    </row>
    <row r="109" spans="1:7" ht="15.75" x14ac:dyDescent="0.25">
      <c r="A109" s="140"/>
      <c r="B109" s="140"/>
      <c r="C109" s="140"/>
      <c r="D109" s="140"/>
      <c r="E109" s="140"/>
      <c r="F109" s="140"/>
      <c r="G109" s="140"/>
    </row>
    <row r="110" spans="1:7" ht="15.75" x14ac:dyDescent="0.25">
      <c r="A110" s="140"/>
      <c r="B110" s="140"/>
      <c r="C110" s="140"/>
      <c r="D110" s="140"/>
      <c r="E110" s="140"/>
      <c r="F110" s="140"/>
      <c r="G110" s="140"/>
    </row>
    <row r="111" spans="1:7" ht="15.75" x14ac:dyDescent="0.25">
      <c r="A111" s="140"/>
      <c r="B111" s="140"/>
      <c r="C111" s="140"/>
      <c r="D111" s="140"/>
      <c r="E111" s="140"/>
      <c r="F111" s="140"/>
      <c r="G111" s="140"/>
    </row>
    <row r="112" spans="1:7" ht="15.75" x14ac:dyDescent="0.25">
      <c r="A112" s="140"/>
      <c r="B112" s="140"/>
      <c r="C112" s="140"/>
      <c r="D112" s="140"/>
      <c r="E112" s="140"/>
      <c r="F112" s="140"/>
      <c r="G112" s="140"/>
    </row>
    <row r="113" spans="1:7" ht="15.75" x14ac:dyDescent="0.25">
      <c r="A113" s="140"/>
      <c r="B113" s="140"/>
      <c r="C113" s="140"/>
      <c r="D113" s="140"/>
      <c r="E113" s="140"/>
      <c r="F113" s="140"/>
      <c r="G113" s="140"/>
    </row>
    <row r="114" spans="1:7" ht="15.75" x14ac:dyDescent="0.25">
      <c r="A114" s="140"/>
      <c r="B114" s="140"/>
      <c r="C114" s="140"/>
      <c r="D114" s="140"/>
      <c r="E114" s="140"/>
      <c r="F114" s="140"/>
      <c r="G114" s="140"/>
    </row>
    <row r="115" spans="1:7" ht="15.75" x14ac:dyDescent="0.25">
      <c r="A115" s="140"/>
      <c r="B115" s="140"/>
      <c r="C115" s="140"/>
      <c r="D115" s="140"/>
      <c r="E115" s="140"/>
      <c r="F115" s="140"/>
      <c r="G115" s="140"/>
    </row>
    <row r="116" spans="1:7" ht="15.75" x14ac:dyDescent="0.25">
      <c r="A116" s="140"/>
      <c r="B116" s="140"/>
      <c r="C116" s="140"/>
      <c r="D116" s="140"/>
      <c r="E116" s="140"/>
      <c r="F116" s="140"/>
      <c r="G116" s="140"/>
    </row>
    <row r="117" spans="1:7" ht="15.75" x14ac:dyDescent="0.25">
      <c r="A117" s="140"/>
      <c r="B117" s="140"/>
      <c r="C117" s="140"/>
      <c r="D117" s="140"/>
      <c r="E117" s="140"/>
      <c r="F117" s="140"/>
      <c r="G117" s="140"/>
    </row>
    <row r="118" spans="1:7" ht="15.75" x14ac:dyDescent="0.25">
      <c r="A118" s="140"/>
      <c r="B118" s="140"/>
      <c r="C118" s="140"/>
      <c r="D118" s="140"/>
      <c r="E118" s="140"/>
      <c r="F118" s="140"/>
      <c r="G118" s="140"/>
    </row>
    <row r="119" spans="1:7" ht="15.75" x14ac:dyDescent="0.25">
      <c r="A119" s="140"/>
      <c r="B119" s="140"/>
      <c r="C119" s="140"/>
      <c r="D119" s="140"/>
      <c r="E119" s="140"/>
      <c r="F119" s="140"/>
      <c r="G119" s="140"/>
    </row>
    <row r="120" spans="1:7" ht="15.75" x14ac:dyDescent="0.25">
      <c r="A120" s="140"/>
      <c r="B120" s="140"/>
      <c r="C120" s="140"/>
      <c r="D120" s="140"/>
      <c r="E120" s="140"/>
      <c r="F120" s="140"/>
      <c r="G120" s="140"/>
    </row>
    <row r="121" spans="1:7" ht="15.75" x14ac:dyDescent="0.25">
      <c r="A121" s="140"/>
      <c r="B121" s="140"/>
      <c r="C121" s="140"/>
      <c r="D121" s="140"/>
      <c r="E121" s="140"/>
      <c r="F121" s="140"/>
      <c r="G121" s="140"/>
    </row>
    <row r="122" spans="1:7" ht="15.75" x14ac:dyDescent="0.25">
      <c r="A122" s="140"/>
      <c r="B122" s="140"/>
      <c r="C122" s="140"/>
      <c r="D122" s="140"/>
      <c r="E122" s="140"/>
      <c r="F122" s="140"/>
      <c r="G122" s="140"/>
    </row>
    <row r="123" spans="1:7" ht="15.75" x14ac:dyDescent="0.25">
      <c r="A123" s="140"/>
      <c r="B123" s="140"/>
      <c r="C123" s="140"/>
      <c r="D123" s="140"/>
      <c r="E123" s="140"/>
      <c r="F123" s="140"/>
      <c r="G123" s="140"/>
    </row>
    <row r="124" spans="1:7" ht="15.75" x14ac:dyDescent="0.25">
      <c r="A124" s="140"/>
      <c r="B124" s="140"/>
      <c r="C124" s="140"/>
      <c r="D124" s="140"/>
      <c r="E124" s="140"/>
      <c r="F124" s="140"/>
      <c r="G124" s="140"/>
    </row>
    <row r="125" spans="1:7" ht="15.75" x14ac:dyDescent="0.25">
      <c r="A125" s="140"/>
      <c r="B125" s="140"/>
      <c r="C125" s="140"/>
      <c r="D125" s="140"/>
      <c r="E125" s="140"/>
      <c r="F125" s="140"/>
      <c r="G125" s="140"/>
    </row>
    <row r="126" spans="1:7" ht="15.75" x14ac:dyDescent="0.25">
      <c r="A126" s="140"/>
      <c r="B126" s="140"/>
      <c r="C126" s="140"/>
      <c r="D126" s="140"/>
      <c r="E126" s="140"/>
      <c r="F126" s="140"/>
      <c r="G126" s="140"/>
    </row>
    <row r="127" spans="1:7" ht="15.75" x14ac:dyDescent="0.25">
      <c r="A127" s="140"/>
      <c r="B127" s="140"/>
      <c r="C127" s="140"/>
      <c r="D127" s="140"/>
      <c r="E127" s="140"/>
      <c r="F127" s="140"/>
      <c r="G127" s="140"/>
    </row>
    <row r="128" spans="1:7" ht="15.75" x14ac:dyDescent="0.25">
      <c r="A128" s="140"/>
      <c r="B128" s="140"/>
      <c r="C128" s="140"/>
      <c r="D128" s="140"/>
      <c r="E128" s="140"/>
      <c r="F128" s="140"/>
      <c r="G128" s="140"/>
    </row>
    <row r="129" spans="1:7" ht="15.75" x14ac:dyDescent="0.25">
      <c r="A129" s="140"/>
      <c r="B129" s="140"/>
      <c r="C129" s="140"/>
      <c r="D129" s="140"/>
      <c r="E129" s="140"/>
      <c r="F129" s="140"/>
      <c r="G129" s="140"/>
    </row>
    <row r="130" spans="1:7" ht="15.75" x14ac:dyDescent="0.25">
      <c r="A130" s="140"/>
      <c r="B130" s="140"/>
      <c r="C130" s="140"/>
      <c r="D130" s="140"/>
      <c r="E130" s="140"/>
      <c r="F130" s="140"/>
      <c r="G130" s="140"/>
    </row>
    <row r="131" spans="1:7" ht="15.75" x14ac:dyDescent="0.25">
      <c r="A131" s="140"/>
      <c r="B131" s="140"/>
      <c r="C131" s="140"/>
      <c r="D131" s="140"/>
      <c r="E131" s="140"/>
      <c r="F131" s="140"/>
      <c r="G131" s="140"/>
    </row>
    <row r="132" spans="1:7" ht="15.75" x14ac:dyDescent="0.25">
      <c r="A132" s="140"/>
      <c r="B132" s="140"/>
      <c r="C132" s="140"/>
      <c r="D132" s="140"/>
      <c r="E132" s="140"/>
      <c r="F132" s="140"/>
      <c r="G132" s="140"/>
    </row>
    <row r="133" spans="1:7" ht="15.75" x14ac:dyDescent="0.25">
      <c r="A133" s="140"/>
      <c r="B133" s="140"/>
      <c r="C133" s="140"/>
      <c r="D133" s="140"/>
      <c r="E133" s="140"/>
      <c r="F133" s="140"/>
      <c r="G133" s="140"/>
    </row>
    <row r="134" spans="1:7" ht="15.75" x14ac:dyDescent="0.25">
      <c r="A134" s="140"/>
      <c r="B134" s="140"/>
      <c r="C134" s="140"/>
      <c r="D134" s="140"/>
      <c r="E134" s="140"/>
      <c r="F134" s="140"/>
      <c r="G134" s="140"/>
    </row>
    <row r="135" spans="1:7" ht="15.75" x14ac:dyDescent="0.25">
      <c r="A135" s="140"/>
      <c r="B135" s="140"/>
      <c r="C135" s="140"/>
      <c r="D135" s="140"/>
      <c r="E135" s="140"/>
      <c r="F135" s="140"/>
      <c r="G135" s="140"/>
    </row>
    <row r="136" spans="1:7" ht="15.75" x14ac:dyDescent="0.25">
      <c r="A136" s="140"/>
      <c r="B136" s="140"/>
      <c r="C136" s="140"/>
      <c r="D136" s="140"/>
      <c r="E136" s="140"/>
      <c r="F136" s="140"/>
      <c r="G136" s="140"/>
    </row>
    <row r="137" spans="1:7" ht="15.75" x14ac:dyDescent="0.25">
      <c r="A137" s="140"/>
      <c r="B137" s="140"/>
      <c r="C137" s="140"/>
      <c r="D137" s="140"/>
      <c r="E137" s="140"/>
      <c r="F137" s="140"/>
      <c r="G137" s="140"/>
    </row>
    <row r="138" spans="1:7" ht="15.75" x14ac:dyDescent="0.25">
      <c r="A138" s="140"/>
      <c r="B138" s="140"/>
      <c r="C138" s="140"/>
      <c r="D138" s="140"/>
      <c r="E138" s="140"/>
      <c r="F138" s="140"/>
      <c r="G138" s="140"/>
    </row>
    <row r="139" spans="1:7" ht="15.75" x14ac:dyDescent="0.25">
      <c r="A139" s="140"/>
      <c r="B139" s="140"/>
      <c r="C139" s="140"/>
      <c r="D139" s="140"/>
      <c r="E139" s="140"/>
      <c r="F139" s="140"/>
      <c r="G139" s="140"/>
    </row>
    <row r="140" spans="1:7" ht="15.75" x14ac:dyDescent="0.25">
      <c r="A140" s="140"/>
      <c r="B140" s="140"/>
      <c r="C140" s="140"/>
      <c r="D140" s="140"/>
      <c r="E140" s="140"/>
      <c r="F140" s="140"/>
      <c r="G140" s="140"/>
    </row>
    <row r="141" spans="1:7" ht="15.75" x14ac:dyDescent="0.25">
      <c r="A141" s="140"/>
      <c r="B141" s="140"/>
      <c r="C141" s="140"/>
      <c r="D141" s="140"/>
      <c r="E141" s="140"/>
      <c r="F141" s="140"/>
      <c r="G141" s="140"/>
    </row>
    <row r="142" spans="1:7" ht="15.75" x14ac:dyDescent="0.25">
      <c r="A142" s="140"/>
      <c r="B142" s="140"/>
      <c r="C142" s="140"/>
      <c r="D142" s="140"/>
      <c r="E142" s="140"/>
      <c r="F142" s="140"/>
      <c r="G142" s="140"/>
    </row>
    <row r="143" spans="1:7" ht="15.75" x14ac:dyDescent="0.25">
      <c r="A143" s="140"/>
      <c r="B143" s="140"/>
      <c r="C143" s="140"/>
      <c r="D143" s="140"/>
      <c r="E143" s="140"/>
      <c r="F143" s="140"/>
      <c r="G143" s="140"/>
    </row>
    <row r="144" spans="1:7" ht="15.75" x14ac:dyDescent="0.25">
      <c r="A144" s="140"/>
      <c r="B144" s="140"/>
      <c r="C144" s="140"/>
      <c r="D144" s="140"/>
      <c r="E144" s="140"/>
      <c r="F144" s="140"/>
      <c r="G144" s="140"/>
    </row>
    <row r="145" spans="1:7" ht="15.75" x14ac:dyDescent="0.25">
      <c r="A145" s="140"/>
      <c r="B145" s="140"/>
      <c r="C145" s="140"/>
      <c r="D145" s="140"/>
      <c r="E145" s="140"/>
      <c r="F145" s="140"/>
      <c r="G145" s="140"/>
    </row>
    <row r="146" spans="1:7" ht="15.75" x14ac:dyDescent="0.25">
      <c r="A146" s="140"/>
      <c r="B146" s="140"/>
      <c r="C146" s="140"/>
      <c r="D146" s="140"/>
      <c r="E146" s="140"/>
      <c r="F146" s="140"/>
      <c r="G146" s="140"/>
    </row>
    <row r="147" spans="1:7" ht="15.75" x14ac:dyDescent="0.25">
      <c r="A147" s="140"/>
      <c r="B147" s="140"/>
      <c r="C147" s="140"/>
      <c r="D147" s="140"/>
      <c r="E147" s="140"/>
      <c r="F147" s="140"/>
      <c r="G147" s="140"/>
    </row>
    <row r="148" spans="1:7" ht="15.75" x14ac:dyDescent="0.25">
      <c r="A148" s="140"/>
      <c r="B148" s="140"/>
      <c r="C148" s="140"/>
      <c r="D148" s="140"/>
      <c r="E148" s="140"/>
      <c r="F148" s="140"/>
      <c r="G148" s="140"/>
    </row>
    <row r="149" spans="1:7" ht="15.75" x14ac:dyDescent="0.25">
      <c r="A149" s="140"/>
      <c r="B149" s="140"/>
      <c r="C149" s="140"/>
      <c r="D149" s="140"/>
      <c r="E149" s="140"/>
      <c r="F149" s="140"/>
      <c r="G149" s="140"/>
    </row>
    <row r="150" spans="1:7" ht="15.75" x14ac:dyDescent="0.25">
      <c r="A150" s="140"/>
      <c r="B150" s="140"/>
      <c r="C150" s="140"/>
      <c r="D150" s="140"/>
      <c r="E150" s="140"/>
      <c r="F150" s="140"/>
      <c r="G150" s="140"/>
    </row>
    <row r="151" spans="1:7" ht="15.75" x14ac:dyDescent="0.25">
      <c r="A151" s="140"/>
      <c r="B151" s="140"/>
      <c r="C151" s="140"/>
      <c r="D151" s="140"/>
      <c r="E151" s="140"/>
      <c r="F151" s="140"/>
      <c r="G151" s="140"/>
    </row>
    <row r="152" spans="1:7" ht="15.75" x14ac:dyDescent="0.25">
      <c r="A152" s="140"/>
      <c r="B152" s="140"/>
      <c r="C152" s="140"/>
      <c r="D152" s="140"/>
      <c r="E152" s="140"/>
      <c r="F152" s="140"/>
      <c r="G152" s="140"/>
    </row>
    <row r="153" spans="1:7" ht="15.75" x14ac:dyDescent="0.25">
      <c r="A153" s="140"/>
      <c r="B153" s="140"/>
      <c r="C153" s="140"/>
      <c r="D153" s="140"/>
      <c r="E153" s="140"/>
      <c r="F153" s="140"/>
      <c r="G153" s="140"/>
    </row>
    <row r="154" spans="1:7" ht="15.75" x14ac:dyDescent="0.25">
      <c r="A154" s="140"/>
      <c r="B154" s="140"/>
      <c r="C154" s="140"/>
      <c r="D154" s="140"/>
      <c r="E154" s="140"/>
      <c r="F154" s="140"/>
      <c r="G154" s="140"/>
    </row>
    <row r="155" spans="1:7" ht="15.75" x14ac:dyDescent="0.25">
      <c r="A155" s="140"/>
      <c r="B155" s="140"/>
      <c r="C155" s="140"/>
      <c r="D155" s="140"/>
      <c r="E155" s="140"/>
      <c r="F155" s="140"/>
      <c r="G155" s="140"/>
    </row>
    <row r="156" spans="1:7" ht="15.75" x14ac:dyDescent="0.25">
      <c r="A156" s="140"/>
      <c r="B156" s="140"/>
      <c r="C156" s="140"/>
      <c r="D156" s="140"/>
      <c r="E156" s="140"/>
      <c r="F156" s="140"/>
      <c r="G156" s="140"/>
    </row>
    <row r="157" spans="1:7" ht="15.75" x14ac:dyDescent="0.25">
      <c r="A157" s="140"/>
      <c r="B157" s="140"/>
      <c r="C157" s="140"/>
      <c r="D157" s="140"/>
      <c r="E157" s="140"/>
      <c r="F157" s="140"/>
      <c r="G157" s="140"/>
    </row>
    <row r="158" spans="1:7" ht="15.75" x14ac:dyDescent="0.25">
      <c r="A158" s="140"/>
      <c r="B158" s="140"/>
      <c r="C158" s="140"/>
      <c r="D158" s="140"/>
      <c r="E158" s="140"/>
      <c r="F158" s="140"/>
      <c r="G158" s="140"/>
    </row>
  </sheetData>
  <mergeCells count="8">
    <mergeCell ref="B37:F37"/>
    <mergeCell ref="B38:F38"/>
    <mergeCell ref="B2:F2"/>
    <mergeCell ref="A3:F3"/>
    <mergeCell ref="G6:G8"/>
    <mergeCell ref="G9:G10"/>
    <mergeCell ref="G13:G23"/>
    <mergeCell ref="B36:F36"/>
  </mergeCells>
  <hyperlinks>
    <hyperlink ref="B30" r:id="rId1" xr:uid="{C95A0B32-DD30-464A-B78E-2F9856D70CF0}"/>
  </hyperlinks>
  <pageMargins left="0.7" right="0.7" top="0.75" bottom="0.75" header="0.3" footer="0.3"/>
  <pageSetup paperSize="9" scale="36" orientation="portrait" r:id="rId2"/>
  <rowBreaks count="1" manualBreakCount="1">
    <brk id="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2023_2024</vt:lpstr>
      <vt:lpstr>2023 корр ИСУ</vt:lpstr>
      <vt:lpstr>2024 корр ИСУ</vt:lpstr>
      <vt:lpstr>'2023 корр ИСУ'!Область_печати</vt:lpstr>
      <vt:lpstr>'2023_2024'!Область_печати</vt:lpstr>
      <vt:lpstr>'2024 корр ИСУ'!Область_печати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Орехова Ирина Васильевна</dc:creator>
  <cp:lastModifiedBy>Орехова Ирина Васильевна</cp:lastModifiedBy>
  <cp:lastPrinted>2023-04-13T12:53:23Z</cp:lastPrinted>
  <dcterms:created xsi:type="dcterms:W3CDTF">2023-03-14T04:59:27Z</dcterms:created>
  <dcterms:modified xsi:type="dcterms:W3CDTF">2023-06-20T08:31:35Z</dcterms:modified>
</cp:coreProperties>
</file>